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8"/>
  <workbookPr filterPrivacy="1" defaultThemeVersion="124226"/>
  <workbookProtection workbookAlgorithmName="SHA-512" workbookHashValue="IP6Qrrc+gNPTX45XV03bSTsL2J/JVxF8yn8ZOK/O7aaaQJTYkBSPrjl+i5v6pXlA94o7OATVdqzGlvfLvWR3rA==" workbookSpinCount="100000" workbookSaltValue="8zmmYgvwlLaixS5kkrW0vg==" lockStructure="1"/>
  <bookViews>
    <workbookView xWindow="28635" yWindow="420" windowWidth="29130" windowHeight="15810" tabRatio="738" activeTab="0"/>
  </bookViews>
  <sheets>
    <sheet name="Inverter DC matching" sheetId="24" r:id="rId1"/>
    <sheet name="PV array shadow distance" sheetId="1" r:id="rId2"/>
    <sheet name="AC Cable loss" sheetId="22" r:id="rId3"/>
    <sheet name="Economic efficiency calculation" sheetId="21" r:id="rId4"/>
    <sheet name="逆变器参数" sheetId="25" state="hidden" r:id="rId5"/>
    <sheet name="直流电阻" sheetId="14" state="hidden" r:id="rId6"/>
  </sheets>
  <definedNames/>
  <calcPr calcId="191029"/>
</workbook>
</file>

<file path=xl/sharedStrings.xml><?xml version="1.0" encoding="utf-8"?>
<sst xmlns="http://schemas.openxmlformats.org/spreadsheetml/2006/main" count="240" uniqueCount="169">
  <si>
    <t>W</t>
  </si>
  <si>
    <t>V</t>
  </si>
  <si>
    <t>A</t>
  </si>
  <si>
    <t>%/℃</t>
  </si>
  <si>
    <t>mm</t>
  </si>
  <si>
    <t>截面</t>
  </si>
  <si>
    <t>Ω</t>
  </si>
  <si>
    <t>V</t>
  </si>
  <si>
    <t>电缆20℃最大电阻Ω/Km</t>
  </si>
  <si>
    <t>单芯和多芯用第1种实芯导体</t>
  </si>
  <si>
    <t>单芯和多芯用第2种实芯导体</t>
  </si>
  <si>
    <t>单芯和多芯用第5种实芯导体</t>
  </si>
  <si>
    <t>铜（不镀金属）</t>
  </si>
  <si>
    <t>铜（镀金属）</t>
  </si>
  <si>
    <t>铝</t>
  </si>
  <si>
    <t>/</t>
  </si>
  <si>
    <t>℃</t>
  </si>
  <si>
    <t>m</t>
  </si>
  <si>
    <r>
      <t>mm</t>
    </r>
    <r>
      <rPr>
        <vertAlign val="superscript"/>
        <sz val="10"/>
        <color theme="1"/>
        <rFont val="微软雅黑"/>
        <family val="2"/>
      </rPr>
      <t>2</t>
    </r>
  </si>
  <si>
    <t>%</t>
  </si>
  <si>
    <t>kWp</t>
  </si>
  <si>
    <t>Ω/km</t>
  </si>
  <si>
    <t>kW</t>
  </si>
  <si>
    <t>Max. DC Input Voltage</t>
  </si>
  <si>
    <t>Full Power MPPT Voltage Range</t>
  </si>
  <si>
    <t>PCS</t>
  </si>
  <si>
    <t>Rated DC Input Voltage</t>
  </si>
  <si>
    <t>String</t>
  </si>
  <si>
    <t>No. of MPP Trackers</t>
  </si>
  <si>
    <t>β</t>
  </si>
  <si>
    <t>L</t>
  </si>
  <si>
    <t>φ</t>
  </si>
  <si>
    <t>D</t>
  </si>
  <si>
    <t>Voc</t>
  </si>
  <si>
    <t>Isc</t>
  </si>
  <si>
    <t>Vmp</t>
  </si>
  <si>
    <t>Imp</t>
  </si>
  <si>
    <t>αIsc</t>
  </si>
  <si>
    <t>βVmp</t>
  </si>
  <si>
    <t>γPmp</t>
  </si>
  <si>
    <t>Tmax</t>
  </si>
  <si>
    <t>Tmin</t>
  </si>
  <si>
    <t>GREEN-Input,ORANGE-Automatic Calculation</t>
  </si>
  <si>
    <t>Max. Output Power</t>
  </si>
  <si>
    <t>Local maximum temperature</t>
  </si>
  <si>
    <t>Local minimum temperature</t>
  </si>
  <si>
    <t>Pmax</t>
  </si>
  <si>
    <t>Rated Maximum Power</t>
  </si>
  <si>
    <t>Open Circuit Voltage</t>
  </si>
  <si>
    <t>Short Circuit Current</t>
  </si>
  <si>
    <t>Maximum Power Voltage</t>
  </si>
  <si>
    <t>Maximum Power Current</t>
  </si>
  <si>
    <t>Temperature Coefficient of Isc</t>
  </si>
  <si>
    <t>Temperature Coefficient of Voc</t>
  </si>
  <si>
    <t>Temperature Coefficient of Pmax</t>
  </si>
  <si>
    <t>TYPE</t>
  </si>
  <si>
    <t>TYPE</t>
  </si>
  <si>
    <t>PV MODULE PARAMETERS（AT STC）</t>
  </si>
  <si>
    <t>Value</t>
  </si>
  <si>
    <t>Value</t>
  </si>
  <si>
    <t>Unit</t>
  </si>
  <si>
    <t>NO.</t>
  </si>
  <si>
    <t>LOCAL TEMPERATURE</t>
  </si>
  <si>
    <t>DC INPUT DESIGEN OF INVERTER</t>
  </si>
  <si>
    <t>Max. input power of inverter</t>
  </si>
  <si>
    <t>Open Circuit Voltage of PV string</t>
  </si>
  <si>
    <t>Min. Voltage of PV string</t>
  </si>
  <si>
    <t>Referenced quantity of PV strings</t>
  </si>
  <si>
    <t>Enter adjusted quantity of PV string</t>
  </si>
  <si>
    <t>The maximum quantity of PV modules in PV string</t>
  </si>
  <si>
    <t>The optimal quantity of PV modules in PV string</t>
  </si>
  <si>
    <t>The minimum quantity of PV modules in PV string</t>
  </si>
  <si>
    <t>Enter adjusted quantity of PV modules in PV string</t>
  </si>
  <si>
    <t>ADVICE</t>
  </si>
  <si>
    <t>Shadow distance of PV array</t>
  </si>
  <si>
    <t>Remark</t>
  </si>
  <si>
    <t>Remark</t>
  </si>
  <si>
    <t>The length of the inclined PV array</t>
  </si>
  <si>
    <t>Tilt Angle of PV array</t>
  </si>
  <si>
    <t>Local latitude</t>
  </si>
  <si>
    <t>°</t>
  </si>
  <si>
    <t>Distance between front and rear arrays</t>
  </si>
  <si>
    <t>Three-phase AC cable loss calculation</t>
  </si>
  <si>
    <t>Single-phase AC cable loss calculation</t>
  </si>
  <si>
    <t>NO.</t>
  </si>
  <si>
    <t>Unit</t>
  </si>
  <si>
    <t>Type</t>
  </si>
  <si>
    <t>Type</t>
  </si>
  <si>
    <t xml:space="preserve">Environment temperature </t>
  </si>
  <si>
    <t xml:space="preserve">The maximum environment temperature </t>
  </si>
  <si>
    <t>AC cable length</t>
  </si>
  <si>
    <t>Inverter output AC cable length</t>
  </si>
  <si>
    <t>Number of cables in parallel</t>
  </si>
  <si>
    <t>If multiple cables are used in parallel, fill in the corresponding number</t>
  </si>
  <si>
    <t>Standard DC resistance</t>
  </si>
  <si>
    <t>Autocomputed value</t>
  </si>
  <si>
    <t>AC cable resistance</t>
  </si>
  <si>
    <t>AC cable voltage drop</t>
  </si>
  <si>
    <t>Calculation of generating capacity and income of PV power station for self-use</t>
  </si>
  <si>
    <t>PV power</t>
  </si>
  <si>
    <t>PV power station cost</t>
  </si>
  <si>
    <t>dollar</t>
  </si>
  <si>
    <t>kWh</t>
  </si>
  <si>
    <t>PV modules degradation in the first year</t>
  </si>
  <si>
    <t>Annual degradation thereafter</t>
  </si>
  <si>
    <t>%</t>
  </si>
  <si>
    <t>Project operation time</t>
  </si>
  <si>
    <t>year</t>
  </si>
  <si>
    <t>Prices of self-use</t>
  </si>
  <si>
    <t>dollar/kWh</t>
  </si>
  <si>
    <t>Proportion of self-use</t>
  </si>
  <si>
    <t>Price of feed into public grid</t>
  </si>
  <si>
    <t>doller/kWh</t>
  </si>
  <si>
    <t>dollar/year</t>
  </si>
  <si>
    <t>Comprehensive price of PV power</t>
  </si>
  <si>
    <t>Initial annual income</t>
  </si>
  <si>
    <t>Pay back period</t>
  </si>
  <si>
    <t>Total</t>
  </si>
  <si>
    <t>Year</t>
  </si>
  <si>
    <t>Cost</t>
  </si>
  <si>
    <t>Power generation</t>
  </si>
  <si>
    <t>Generating income</t>
  </si>
  <si>
    <t>Net cash flow</t>
  </si>
  <si>
    <t>Accumulative net cash flow</t>
  </si>
  <si>
    <t>Internal rate of return (IRR)</t>
  </si>
  <si>
    <t>Full Power MPPT 
Voltage Range</t>
  </si>
  <si>
    <t>No. of MPP 
Trackers</t>
  </si>
  <si>
    <t>Max. DC Input 
Voltage</t>
  </si>
  <si>
    <t>Rated DC Input 
Voltage</t>
  </si>
  <si>
    <t>Choose Inverter Model</t>
  </si>
  <si>
    <t>No. of DC Inputs</t>
  </si>
  <si>
    <t>Power</t>
  </si>
  <si>
    <t>Voltage</t>
  </si>
  <si>
    <t>The local standard voltage</t>
  </si>
  <si>
    <t>The power running on the cable</t>
  </si>
  <si>
    <t>Sectional cross sectional area of AC cable</t>
  </si>
  <si>
    <t>AC cable specification</t>
  </si>
  <si>
    <t>Refer to PV module specifications, if it is linear degradation，The first year is the same as every year after that.</t>
  </si>
  <si>
    <t>The price and proportion of PV power generation that is consumed locally by the user's load and not feed into the public grid.</t>
  </si>
  <si>
    <t>Areas where feed into public is not allowed, enter 0.</t>
  </si>
  <si>
    <t>Local currency unit.</t>
  </si>
  <si>
    <t>https://globalsolaratlas.info/map</t>
  </si>
  <si>
    <t xml:space="preserve">Initial annual generated energy </t>
  </si>
  <si>
    <t xml:space="preserve">Please refer to this website for Initial annual generated energy </t>
  </si>
  <si>
    <t>Calculated by PVsyst or empirically estimated, or the website below.</t>
  </si>
  <si>
    <t>MHS-3K-30</t>
  </si>
  <si>
    <t>MHS-3.6K-30</t>
  </si>
  <si>
    <t>MHS-4.2K-30</t>
  </si>
  <si>
    <t>MHS-5K-30</t>
  </si>
  <si>
    <t>MHS-6K-30</t>
  </si>
  <si>
    <t>MHS-8K-30</t>
  </si>
  <si>
    <t>MHT-4K-25</t>
  </si>
  <si>
    <t>MHT-5K-25</t>
  </si>
  <si>
    <t>MHT-6K-25</t>
  </si>
  <si>
    <t>MHT-8K-25</t>
  </si>
  <si>
    <t>MHT-10K-25</t>
  </si>
  <si>
    <t>MHT-12K-25</t>
  </si>
  <si>
    <t>MHT-10K-40</t>
  </si>
  <si>
    <t>MHT-12K-40</t>
  </si>
  <si>
    <t>MHT-15K-40</t>
  </si>
  <si>
    <t>MHT-20K-40</t>
  </si>
  <si>
    <t>MHT-25K-100</t>
  </si>
  <si>
    <t>MHT-30K-100</t>
  </si>
  <si>
    <t>MHT-36K-100</t>
  </si>
  <si>
    <t>MHT-40K-100</t>
  </si>
  <si>
    <t>MHT-50K-100</t>
  </si>
  <si>
    <t>Copy Right©Solinteg 30.12.2022</t>
  </si>
  <si>
    <t>No. of DC 
Inputs</t>
  </si>
  <si>
    <t>MHT-20K-40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</si>
</sst>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76" formatCode="0.00_ "/>
    <numFmt numFmtId="177" formatCode="0.00_);[Red]\(0.00\)"/>
    <numFmt numFmtId="178" formatCode="0_ "/>
    <numFmt numFmtId="179" formatCode="0.0000"/>
    <numFmt numFmtId="180" formatCode="0.000"/>
    <numFmt numFmtId="181" formatCode="0.0_ "/>
    <numFmt numFmtId="182" formatCode="0.000_ "/>
    <numFmt numFmtId="183" formatCode="0.000_);[Red]\(0.000\)"/>
    <numFmt numFmtId="184" formatCode="0.0000_ "/>
    <numFmt numFmtId="185" formatCode="0.0000_);[Red]\(0.0000\)"/>
    <numFmt numFmtId="186" formatCode="0_);[Red]\(0\)"/>
    <numFmt numFmtId="187" formatCode="_ * #,##0.0000_ ;_ * \-#,##0.00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theme="1"/>
      <name val="微软雅黑"/>
      <family val="2"/>
    </font>
    <font>
      <sz val="12"/>
      <name val="微软雅黑"/>
      <family val="2"/>
    </font>
    <font>
      <sz val="12"/>
      <name val="宋体"/>
      <family val="3"/>
    </font>
    <font>
      <b/>
      <sz val="16"/>
      <name val="微软雅黑"/>
      <family val="2"/>
    </font>
    <font>
      <b/>
      <sz val="12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vertAlign val="superscript"/>
      <sz val="10"/>
      <color theme="1"/>
      <name val="微软雅黑"/>
      <family val="2"/>
    </font>
    <font>
      <b/>
      <sz val="11"/>
      <color theme="1"/>
      <name val="Calibri"/>
      <family val="3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微软雅黑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8" fillId="0" borderId="1" xfId="20" applyFont="1" applyBorder="1" applyAlignment="1">
      <alignment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181" fontId="9" fillId="0" borderId="1" xfId="20" applyNumberFormat="1" applyFont="1" applyBorder="1" applyAlignment="1">
      <alignment horizontal="center" vertical="center"/>
      <protection/>
    </xf>
    <xf numFmtId="176" fontId="9" fillId="0" borderId="1" xfId="20" applyNumberFormat="1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177" fontId="9" fillId="0" borderId="1" xfId="20" applyNumberFormat="1" applyFont="1" applyBorder="1" applyAlignment="1">
      <alignment horizontal="center" vertical="center"/>
      <protection/>
    </xf>
    <xf numFmtId="182" fontId="9" fillId="0" borderId="1" xfId="20" applyNumberFormat="1" applyFont="1" applyBorder="1" applyAlignment="1">
      <alignment horizontal="center" vertical="center"/>
      <protection/>
    </xf>
    <xf numFmtId="183" fontId="9" fillId="0" borderId="1" xfId="20" applyNumberFormat="1" applyFont="1" applyBorder="1" applyAlignment="1">
      <alignment horizontal="center" vertical="center"/>
      <protection/>
    </xf>
    <xf numFmtId="184" fontId="9" fillId="0" borderId="1" xfId="20" applyNumberFormat="1" applyFont="1" applyBorder="1" applyAlignment="1">
      <alignment horizontal="center" vertical="center"/>
      <protection/>
    </xf>
    <xf numFmtId="185" fontId="9" fillId="0" borderId="1" xfId="20" applyNumberFormat="1" applyFont="1" applyBorder="1" applyAlignment="1">
      <alignment horizontal="center" vertical="center"/>
      <protection/>
    </xf>
    <xf numFmtId="183" fontId="4" fillId="0" borderId="1" xfId="20" applyNumberFormat="1" applyFont="1" applyBorder="1" applyAlignment="1">
      <alignment vertical="center"/>
      <protection/>
    </xf>
    <xf numFmtId="0" fontId="4" fillId="0" borderId="1" xfId="20" applyFont="1" applyBorder="1" applyAlignment="1">
      <alignment vertical="center"/>
      <protection/>
    </xf>
    <xf numFmtId="0" fontId="9" fillId="0" borderId="1" xfId="20" applyFont="1" applyBorder="1" applyAlignment="1">
      <alignment vertical="center"/>
      <protection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vertical="center"/>
    </xf>
    <xf numFmtId="180" fontId="10" fillId="3" borderId="1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78" fontId="10" fillId="3" borderId="1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2" fontId="8" fillId="4" borderId="1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0" fontId="9" fillId="3" borderId="1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43" fontId="9" fillId="3" borderId="1" xfId="21" applyFont="1" applyFill="1" applyBorder="1" applyAlignment="1">
      <alignment horizontal="right" vertical="center"/>
    </xf>
    <xf numFmtId="187" fontId="9" fillId="3" borderId="1" xfId="21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86" fontId="8" fillId="4" borderId="1" xfId="0" applyNumberFormat="1" applyFont="1" applyFill="1" applyBorder="1" applyAlignment="1">
      <alignment vertical="center"/>
    </xf>
    <xf numFmtId="177" fontId="8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9" fillId="3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86" fontId="8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11" fillId="4" borderId="1" xfId="0" applyNumberFormat="1" applyFont="1" applyFill="1" applyBorder="1" applyAlignment="1">
      <alignment vertical="center"/>
    </xf>
    <xf numFmtId="177" fontId="10" fillId="3" borderId="1" xfId="0" applyNumberFormat="1" applyFont="1" applyFill="1" applyBorder="1" applyAlignment="1">
      <alignment vertical="center"/>
    </xf>
    <xf numFmtId="177" fontId="10" fillId="3" borderId="1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177" fontId="10" fillId="4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9" fillId="4" borderId="1" xfId="0" applyNumberFormat="1" applyFont="1" applyFill="1" applyBorder="1" applyAlignment="1">
      <alignment vertical="center"/>
    </xf>
    <xf numFmtId="176" fontId="9" fillId="4" borderId="5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0" fontId="9" fillId="4" borderId="1" xfId="22" applyNumberFormat="1" applyFont="1" applyFill="1" applyBorder="1" applyAlignment="1">
      <alignment vertical="center"/>
    </xf>
    <xf numFmtId="10" fontId="8" fillId="4" borderId="1" xfId="22" applyNumberFormat="1" applyFont="1" applyFill="1" applyBorder="1" applyAlignment="1">
      <alignment vertical="center"/>
    </xf>
    <xf numFmtId="9" fontId="10" fillId="3" borderId="1" xfId="22" applyFont="1" applyFill="1" applyBorder="1" applyAlignment="1">
      <alignment horizontal="right" vertical="center"/>
    </xf>
    <xf numFmtId="176" fontId="9" fillId="4" borderId="7" xfId="0" applyNumberFormat="1" applyFont="1" applyFill="1" applyBorder="1" applyAlignment="1">
      <alignment vertical="center"/>
    </xf>
    <xf numFmtId="178" fontId="9" fillId="4" borderId="8" xfId="0" applyNumberFormat="1" applyFont="1" applyFill="1" applyBorder="1" applyAlignment="1">
      <alignment horizontal="center" vertical="center"/>
    </xf>
    <xf numFmtId="178" fontId="9" fillId="4" borderId="9" xfId="0" applyNumberFormat="1" applyFont="1" applyFill="1" applyBorder="1" applyAlignment="1">
      <alignment horizontal="center" vertical="center"/>
    </xf>
    <xf numFmtId="176" fontId="9" fillId="4" borderId="2" xfId="0" applyNumberFormat="1" applyFont="1" applyFill="1" applyBorder="1" applyAlignment="1">
      <alignment vertical="center"/>
    </xf>
    <xf numFmtId="176" fontId="3" fillId="4" borderId="1" xfId="0" applyNumberFormat="1" applyFont="1" applyFill="1" applyBorder="1" applyAlignment="1">
      <alignment vertical="center"/>
    </xf>
    <xf numFmtId="176" fontId="3" fillId="4" borderId="3" xfId="0" applyNumberFormat="1" applyFont="1" applyFill="1" applyBorder="1" applyAlignment="1">
      <alignment vertical="center"/>
    </xf>
    <xf numFmtId="176" fontId="10" fillId="4" borderId="2" xfId="0" applyNumberFormat="1" applyFont="1" applyFill="1" applyBorder="1" applyAlignment="1">
      <alignment vertical="center"/>
    </xf>
    <xf numFmtId="176" fontId="9" fillId="4" borderId="3" xfId="0" applyNumberFormat="1" applyFont="1" applyFill="1" applyBorder="1" applyAlignment="1">
      <alignment vertical="center"/>
    </xf>
    <xf numFmtId="176" fontId="9" fillId="4" borderId="4" xfId="0" applyNumberFormat="1" applyFont="1" applyFill="1" applyBorder="1" applyAlignment="1">
      <alignment vertical="center"/>
    </xf>
    <xf numFmtId="176" fontId="9" fillId="4" borderId="6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6" fontId="10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86" fontId="10" fillId="4" borderId="10" xfId="0" applyNumberFormat="1" applyFont="1" applyFill="1" applyBorder="1" applyAlignment="1">
      <alignment horizontal="center" vertical="center"/>
    </xf>
    <xf numFmtId="0" fontId="15" fillId="5" borderId="1" xfId="23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186" fontId="10" fillId="6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186" fontId="10" fillId="7" borderId="1" xfId="0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186" fontId="10" fillId="8" borderId="1" xfId="0" applyNumberFormat="1" applyFont="1" applyFill="1" applyBorder="1" applyAlignment="1">
      <alignment horizontal="center" vertical="center"/>
    </xf>
    <xf numFmtId="2" fontId="10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186" fontId="10" fillId="9" borderId="1" xfId="0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3" fillId="5" borderId="0" xfId="0" applyFont="1" applyFill="1" applyAlignment="1">
      <alignment horizontal="center" vertical="center"/>
    </xf>
    <xf numFmtId="0" fontId="11" fillId="10" borderId="12" xfId="0" applyFont="1" applyFill="1" applyBorder="1" applyAlignment="1">
      <alignment horizontal="left" vertical="center"/>
    </xf>
    <xf numFmtId="0" fontId="11" fillId="10" borderId="13" xfId="0" applyFont="1" applyFill="1" applyBorder="1" applyAlignment="1">
      <alignment horizontal="left" vertical="center"/>
    </xf>
    <xf numFmtId="0" fontId="11" fillId="10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10" borderId="7" xfId="0" applyFont="1" applyFill="1" applyBorder="1" applyAlignment="1">
      <alignment horizontal="left" vertical="center"/>
    </xf>
    <xf numFmtId="0" fontId="11" fillId="10" borderId="8" xfId="0" applyFont="1" applyFill="1" applyBorder="1" applyAlignment="1">
      <alignment horizontal="left" vertical="center"/>
    </xf>
    <xf numFmtId="0" fontId="11" fillId="10" borderId="9" xfId="0" applyFont="1" applyFill="1" applyBorder="1" applyAlignment="1">
      <alignment horizontal="left" vertical="center"/>
    </xf>
    <xf numFmtId="2" fontId="10" fillId="4" borderId="10" xfId="0" applyNumberFormat="1" applyFont="1" applyFill="1" applyBorder="1" applyAlignment="1">
      <alignment horizontal="center" vertical="center"/>
    </xf>
    <xf numFmtId="2" fontId="10" fillId="4" borderId="11" xfId="0" applyNumberFormat="1" applyFont="1" applyFill="1" applyBorder="1" applyAlignment="1">
      <alignment horizontal="center" vertical="center"/>
    </xf>
    <xf numFmtId="186" fontId="10" fillId="4" borderId="10" xfId="0" applyNumberFormat="1" applyFont="1" applyFill="1" applyBorder="1" applyAlignment="1">
      <alignment horizontal="center" vertical="center"/>
    </xf>
    <xf numFmtId="186" fontId="10" fillId="4" borderId="11" xfId="0" applyNumberFormat="1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6" fillId="0" borderId="0" xfId="20" applyFont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千位分隔" xfId="21"/>
    <cellStyle name="百分比" xfId="22"/>
    <cellStyle name="超链接" xfId="23"/>
  </cellStyles>
  <dxfs count="4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600075</xdr:colOff>
      <xdr:row>8</xdr:row>
      <xdr:rowOff>142875</xdr:rowOff>
    </xdr:from>
    <xdr:to>
      <xdr:col>4</xdr:col>
      <xdr:colOff>666750</xdr:colOff>
      <xdr:row>18</xdr:row>
      <xdr:rowOff>133350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590675"/>
          <a:ext cx="2867025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globalsolaratlas.info/ma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45964-5557-48BB-915F-DBE5C151D14E}">
  <dimension ref="B1:L30"/>
  <sheetViews>
    <sheetView tabSelected="1" workbookViewId="0" topLeftCell="A1">
      <selection activeCell="I15" sqref="I15"/>
    </sheetView>
  </sheetViews>
  <sheetFormatPr defaultColWidth="9.140625" defaultRowHeight="15"/>
  <cols>
    <col min="1" max="1" width="2.140625" style="0" customWidth="1"/>
    <col min="2" max="2" width="5.00390625" style="0" bestFit="1" customWidth="1"/>
    <col min="3" max="3" width="30.57421875" style="0" bestFit="1" customWidth="1"/>
    <col min="4" max="4" width="8.00390625" style="58" customWidth="1"/>
    <col min="5" max="5" width="9.7109375" style="0" customWidth="1"/>
    <col min="6" max="6" width="5.57421875" style="58" bestFit="1" customWidth="1"/>
    <col min="7" max="7" width="3.00390625" style="0" customWidth="1"/>
    <col min="8" max="8" width="5.00390625" style="0" bestFit="1" customWidth="1"/>
    <col min="9" max="9" width="47.8515625" style="0" bestFit="1" customWidth="1"/>
    <col min="10" max="10" width="11.28125" style="58" customWidth="1"/>
    <col min="11" max="11" width="6.421875" style="58" customWidth="1"/>
    <col min="12" max="12" width="120.28125" style="0" bestFit="1" customWidth="1"/>
  </cols>
  <sheetData>
    <row r="1" spans="2:6" ht="15">
      <c r="B1" s="120" t="s">
        <v>166</v>
      </c>
      <c r="C1" s="120"/>
      <c r="D1" s="120"/>
      <c r="E1" s="120"/>
      <c r="F1" s="120"/>
    </row>
    <row r="2" spans="2:6" ht="15">
      <c r="B2" s="128" t="s">
        <v>42</v>
      </c>
      <c r="C2" s="128"/>
      <c r="D2" s="128"/>
      <c r="E2" s="128"/>
      <c r="F2" s="128"/>
    </row>
    <row r="3" ht="13.9" thickBot="1"/>
    <row r="4" spans="2:12" ht="14.65">
      <c r="B4" s="121" t="s">
        <v>57</v>
      </c>
      <c r="C4" s="122"/>
      <c r="D4" s="122"/>
      <c r="E4" s="122"/>
      <c r="F4" s="123"/>
      <c r="H4" s="135" t="s">
        <v>63</v>
      </c>
      <c r="I4" s="136"/>
      <c r="J4" s="136"/>
      <c r="K4" s="136"/>
      <c r="L4" s="137"/>
    </row>
    <row r="5" spans="2:12" ht="13.9">
      <c r="B5" s="18" t="s">
        <v>61</v>
      </c>
      <c r="C5" s="124" t="s">
        <v>56</v>
      </c>
      <c r="D5" s="125"/>
      <c r="E5" s="19" t="s">
        <v>59</v>
      </c>
      <c r="F5" s="20" t="s">
        <v>60</v>
      </c>
      <c r="H5" s="33" t="s">
        <v>61</v>
      </c>
      <c r="I5" s="40" t="s">
        <v>56</v>
      </c>
      <c r="J5" s="40" t="s">
        <v>58</v>
      </c>
      <c r="K5" s="20" t="s">
        <v>60</v>
      </c>
      <c r="L5" s="20" t="s">
        <v>73</v>
      </c>
    </row>
    <row r="6" spans="2:12" ht="14.65">
      <c r="B6" s="18">
        <v>1</v>
      </c>
      <c r="C6" s="21" t="s">
        <v>47</v>
      </c>
      <c r="D6" s="19" t="s">
        <v>46</v>
      </c>
      <c r="E6" s="22">
        <v>650</v>
      </c>
      <c r="F6" s="20" t="s">
        <v>0</v>
      </c>
      <c r="H6" s="33">
        <v>1</v>
      </c>
      <c r="I6" s="52" t="s">
        <v>69</v>
      </c>
      <c r="J6" s="56">
        <f>INT(E26/($E$12*$E$7*($E$19-25)/100+$E$7))</f>
        <v>17</v>
      </c>
      <c r="K6" s="60" t="s">
        <v>25</v>
      </c>
      <c r="L6" s="30"/>
    </row>
    <row r="7" spans="2:12" ht="14.65">
      <c r="B7" s="18">
        <v>2</v>
      </c>
      <c r="C7" s="21" t="s">
        <v>48</v>
      </c>
      <c r="D7" s="19" t="s">
        <v>33</v>
      </c>
      <c r="E7" s="23">
        <v>45.3</v>
      </c>
      <c r="F7" s="20" t="s">
        <v>1</v>
      </c>
      <c r="H7" s="33">
        <v>2</v>
      </c>
      <c r="I7" s="52" t="s">
        <v>70</v>
      </c>
      <c r="J7" s="56">
        <f>INT(D24/E9)</f>
        <v>16</v>
      </c>
      <c r="K7" s="60" t="s">
        <v>25</v>
      </c>
      <c r="L7" s="30"/>
    </row>
    <row r="8" spans="2:12" ht="14.65">
      <c r="B8" s="18">
        <v>3</v>
      </c>
      <c r="C8" s="21" t="s">
        <v>49</v>
      </c>
      <c r="D8" s="19" t="s">
        <v>34</v>
      </c>
      <c r="E8" s="22">
        <v>18.44</v>
      </c>
      <c r="F8" s="20" t="s">
        <v>2</v>
      </c>
      <c r="H8" s="33">
        <v>3</v>
      </c>
      <c r="I8" s="52" t="s">
        <v>71</v>
      </c>
      <c r="J8" s="56">
        <f>D26/($E$9+$E$12*$E$9*($E$18-25)/100)</f>
        <v>5.781182251770487</v>
      </c>
      <c r="K8" s="60" t="s">
        <v>25</v>
      </c>
      <c r="L8" s="30"/>
    </row>
    <row r="9" spans="2:12" ht="14.65">
      <c r="B9" s="18">
        <v>4</v>
      </c>
      <c r="C9" s="21" t="s">
        <v>50</v>
      </c>
      <c r="D9" s="19" t="s">
        <v>35</v>
      </c>
      <c r="E9" s="22">
        <v>37.4</v>
      </c>
      <c r="F9" s="20" t="s">
        <v>1</v>
      </c>
      <c r="H9" s="33">
        <v>4</v>
      </c>
      <c r="I9" s="52" t="s">
        <v>67</v>
      </c>
      <c r="J9" s="56">
        <f>IF(IF(ROUND(D29*1000/(J7*E6),0)=0,1,ROUND(D29*1000/(J7*E6),0))&gt;=(D28+E28),IF(ROUND(D29*1000/(J7*E6),0)=0,1,ROUND(D29*1000/(J7*E6),0)),(D28+E28))</f>
        <v>4</v>
      </c>
      <c r="K9" s="60" t="s">
        <v>27</v>
      </c>
      <c r="L9" s="30"/>
    </row>
    <row r="10" spans="2:12" ht="13.9">
      <c r="B10" s="18">
        <v>5</v>
      </c>
      <c r="C10" s="21" t="s">
        <v>51</v>
      </c>
      <c r="D10" s="19" t="s">
        <v>36</v>
      </c>
      <c r="E10" s="22">
        <v>17.39</v>
      </c>
      <c r="F10" s="20" t="s">
        <v>2</v>
      </c>
      <c r="H10" s="33">
        <v>5</v>
      </c>
      <c r="I10" s="52" t="s">
        <v>72</v>
      </c>
      <c r="J10" s="43">
        <v>15</v>
      </c>
      <c r="K10" s="60" t="s">
        <v>25</v>
      </c>
      <c r="L10" s="30"/>
    </row>
    <row r="11" spans="2:12" ht="13.9">
      <c r="B11" s="18">
        <v>7</v>
      </c>
      <c r="C11" s="21" t="s">
        <v>52</v>
      </c>
      <c r="D11" s="19" t="s">
        <v>37</v>
      </c>
      <c r="E11" s="24">
        <v>0.04</v>
      </c>
      <c r="F11" s="20" t="s">
        <v>3</v>
      </c>
      <c r="H11" s="33">
        <v>6</v>
      </c>
      <c r="I11" s="52" t="s">
        <v>68</v>
      </c>
      <c r="J11" s="43">
        <v>2</v>
      </c>
      <c r="K11" s="60" t="s">
        <v>27</v>
      </c>
      <c r="L11" s="30" t="str">
        <f>IF(J11&gt;($D$28),"PV string quantity is greater than inverter DC input port, please reduce the PV string quantity","PASS")</f>
        <v>PASS</v>
      </c>
    </row>
    <row r="12" spans="2:12" ht="14.65">
      <c r="B12" s="18">
        <v>8</v>
      </c>
      <c r="C12" s="21" t="s">
        <v>53</v>
      </c>
      <c r="D12" s="19" t="s">
        <v>38</v>
      </c>
      <c r="E12" s="24">
        <v>-0.25</v>
      </c>
      <c r="F12" s="20" t="s">
        <v>3</v>
      </c>
      <c r="H12" s="33">
        <v>7</v>
      </c>
      <c r="I12" s="52" t="s">
        <v>64</v>
      </c>
      <c r="J12" s="57">
        <f>J11*(J10*E6)/1000</f>
        <v>19.5</v>
      </c>
      <c r="K12" s="40" t="s">
        <v>22</v>
      </c>
      <c r="L12" s="30" t="str">
        <f>IF(J12&gt;$D$29*1.25,"The PV power is too much, it maybe waste, advice reduce the PV modules","PASS")</f>
        <v>PASS</v>
      </c>
    </row>
    <row r="13" spans="2:12" ht="14.65">
      <c r="B13" s="18">
        <v>9</v>
      </c>
      <c r="C13" s="21" t="s">
        <v>54</v>
      </c>
      <c r="D13" s="19" t="s">
        <v>39</v>
      </c>
      <c r="E13" s="24">
        <v>-0.34</v>
      </c>
      <c r="F13" s="20" t="s">
        <v>3</v>
      </c>
      <c r="H13" s="33">
        <v>8</v>
      </c>
      <c r="I13" s="52" t="s">
        <v>65</v>
      </c>
      <c r="J13" s="56">
        <f>($E$12*$E$7*($E$19-25)/100+$E$7)*J10</f>
        <v>738.95625</v>
      </c>
      <c r="K13" s="40" t="s">
        <v>1</v>
      </c>
      <c r="L13" s="30" t="str">
        <f>IF(J13&gt;$E$26,"Greater than Max. DC Input Voltage of inverter, the inverter will be damaged, pls reduce the quantity of PV modules in PV string","PASS")</f>
        <v>PASS</v>
      </c>
    </row>
    <row r="14" spans="2:12" ht="15" thickBot="1">
      <c r="B14" s="25"/>
      <c r="C14" s="26"/>
      <c r="D14" s="55"/>
      <c r="E14" s="26"/>
      <c r="F14" s="64"/>
      <c r="H14" s="33">
        <v>9</v>
      </c>
      <c r="I14" s="52" t="s">
        <v>66</v>
      </c>
      <c r="J14" s="56">
        <f>($E$9+$E$12*$E$9*($E$18-25)/100)*J10</f>
        <v>518.925</v>
      </c>
      <c r="K14" s="40" t="s">
        <v>1</v>
      </c>
      <c r="L14" s="30" t="str">
        <f>IF(J14&lt;$D$26*1.25,"The voltage is too low, pls add the quantity of PV modules in PV string","PASS")</f>
        <v>PASS</v>
      </c>
    </row>
    <row r="15" spans="8:12" ht="15" thickBot="1">
      <c r="H15" s="35"/>
      <c r="I15" s="53"/>
      <c r="J15" s="63"/>
      <c r="K15" s="62"/>
      <c r="L15" s="31"/>
    </row>
    <row r="16" spans="2:6" ht="14.65">
      <c r="B16" s="121" t="s">
        <v>62</v>
      </c>
      <c r="C16" s="122"/>
      <c r="D16" s="122"/>
      <c r="E16" s="122"/>
      <c r="F16" s="123"/>
    </row>
    <row r="17" spans="2:6" ht="13.9">
      <c r="B17" s="33" t="s">
        <v>61</v>
      </c>
      <c r="C17" s="99" t="s">
        <v>56</v>
      </c>
      <c r="D17" s="100"/>
      <c r="E17" s="40" t="s">
        <v>59</v>
      </c>
      <c r="F17" s="41" t="s">
        <v>60</v>
      </c>
    </row>
    <row r="18" spans="2:6" ht="13.9">
      <c r="B18" s="33">
        <v>1</v>
      </c>
      <c r="C18" s="52" t="s">
        <v>44</v>
      </c>
      <c r="D18" s="40" t="s">
        <v>40</v>
      </c>
      <c r="E18" s="59">
        <v>55</v>
      </c>
      <c r="F18" s="65" t="s">
        <v>16</v>
      </c>
    </row>
    <row r="19" spans="2:6" ht="14.25" thickBot="1">
      <c r="B19" s="35">
        <v>2</v>
      </c>
      <c r="C19" s="53" t="s">
        <v>45</v>
      </c>
      <c r="D19" s="62" t="s">
        <v>41</v>
      </c>
      <c r="E19" s="67">
        <v>-10</v>
      </c>
      <c r="F19" s="66" t="s">
        <v>16</v>
      </c>
    </row>
    <row r="20" ht="13.9" thickBot="1"/>
    <row r="21" spans="2:6" ht="14.65">
      <c r="B21" s="121" t="s">
        <v>129</v>
      </c>
      <c r="C21" s="122"/>
      <c r="D21" s="122"/>
      <c r="E21" s="122"/>
      <c r="F21" s="123"/>
    </row>
    <row r="22" spans="2:6" ht="14.65">
      <c r="B22" s="129" t="s">
        <v>168</v>
      </c>
      <c r="C22" s="130"/>
      <c r="D22" s="130"/>
      <c r="E22" s="130"/>
      <c r="F22" s="131"/>
    </row>
    <row r="23" spans="2:6" ht="13.9">
      <c r="B23" s="18" t="s">
        <v>61</v>
      </c>
      <c r="C23" s="19" t="s">
        <v>55</v>
      </c>
      <c r="D23" s="126" t="s">
        <v>59</v>
      </c>
      <c r="E23" s="127"/>
      <c r="F23" s="20" t="s">
        <v>60</v>
      </c>
    </row>
    <row r="24" spans="2:6" ht="13.9">
      <c r="B24" s="18">
        <v>1</v>
      </c>
      <c r="C24" s="21" t="s">
        <v>26</v>
      </c>
      <c r="D24" s="140">
        <f>VLOOKUP(B22,'逆变器参数'!A1:H99,2,FALSE)</f>
        <v>620</v>
      </c>
      <c r="E24" s="141"/>
      <c r="F24" s="20" t="s">
        <v>1</v>
      </c>
    </row>
    <row r="25" spans="2:6" ht="13.9">
      <c r="B25" s="18">
        <v>2</v>
      </c>
      <c r="C25" s="21" t="s">
        <v>23</v>
      </c>
      <c r="D25" s="140">
        <f>VLOOKUP(B22,'逆变器参数'!A1:H99,3,FALSE)</f>
        <v>1000</v>
      </c>
      <c r="E25" s="141"/>
      <c r="F25" s="20" t="s">
        <v>1</v>
      </c>
    </row>
    <row r="26" spans="2:6" ht="13.9">
      <c r="B26" s="18">
        <v>3</v>
      </c>
      <c r="C26" s="21" t="s">
        <v>24</v>
      </c>
      <c r="D26" s="101">
        <f>VLOOKUP(B22,'逆变器参数'!A1:H99,4,FALSE)</f>
        <v>200</v>
      </c>
      <c r="E26" s="105">
        <f>VLOOKUP(B22,'逆变器参数'!A1:H99,5,FALSE)</f>
        <v>850</v>
      </c>
      <c r="F26" s="20" t="s">
        <v>1</v>
      </c>
    </row>
    <row r="27" spans="2:6" ht="13.9">
      <c r="B27" s="18">
        <v>4</v>
      </c>
      <c r="C27" s="21" t="s">
        <v>28</v>
      </c>
      <c r="D27" s="140">
        <f>VLOOKUP(B22,'逆变器参数'!A1:H99,6,FALSE)</f>
        <v>2</v>
      </c>
      <c r="E27" s="141"/>
      <c r="F27" s="20"/>
    </row>
    <row r="28" spans="2:6" ht="13.9">
      <c r="B28" s="18">
        <v>5</v>
      </c>
      <c r="C28" s="21" t="s">
        <v>130</v>
      </c>
      <c r="D28" s="140">
        <f>VLOOKUP(B22,'逆变器参数'!A1:H99,7,FALSE)</f>
        <v>4</v>
      </c>
      <c r="E28" s="141"/>
      <c r="F28" s="20"/>
    </row>
    <row r="29" spans="2:6" ht="13.9">
      <c r="B29" s="18">
        <v>6</v>
      </c>
      <c r="C29" s="21" t="s">
        <v>43</v>
      </c>
      <c r="D29" s="138">
        <f>VLOOKUP(B22,'逆变器参数'!A1:H99,8,FALSE)</f>
        <v>22</v>
      </c>
      <c r="E29" s="139"/>
      <c r="F29" s="20" t="s">
        <v>22</v>
      </c>
    </row>
    <row r="30" spans="2:6" ht="14.25" thickBot="1">
      <c r="B30" s="132"/>
      <c r="C30" s="133"/>
      <c r="D30" s="133"/>
      <c r="E30" s="133"/>
      <c r="F30" s="134"/>
    </row>
  </sheetData>
  <sheetProtection algorithmName="SHA-512" hashValue="KQGht8NBM+ZVva1ak51YmKceMc9+RNZVJBGCd/ORT17bq6Es/7zM8ulUstTklNc0qxX9UfX3Pu7rOnSrrk+f6Q==" saltValue="IlXpgV/aYSh88jvlZJqTXA==" spinCount="100000" sheet="1" objects="1" scenarios="1"/>
  <protectedRanges>
    <protectedRange sqref="J10:J11" name="区域4"/>
    <protectedRange sqref="E6:E13" name="区域1"/>
    <protectedRange sqref="E18:E19" name="区域3"/>
    <protectedRange sqref="B22:F22" name="区域5"/>
  </protectedRanges>
  <mergeCells count="15">
    <mergeCell ref="B30:F30"/>
    <mergeCell ref="H4:L4"/>
    <mergeCell ref="D29:E29"/>
    <mergeCell ref="D25:E25"/>
    <mergeCell ref="D24:E24"/>
    <mergeCell ref="D27:E27"/>
    <mergeCell ref="D28:E28"/>
    <mergeCell ref="B1:F1"/>
    <mergeCell ref="B4:F4"/>
    <mergeCell ref="B21:F21"/>
    <mergeCell ref="C5:D5"/>
    <mergeCell ref="D23:E23"/>
    <mergeCell ref="B2:F2"/>
    <mergeCell ref="B16:F16"/>
    <mergeCell ref="B22:F22"/>
  </mergeCells>
  <conditionalFormatting sqref="L11">
    <cfRule type="cellIs" priority="5" dxfId="0" operator="notEqual">
      <formula>"PASS"</formula>
    </cfRule>
  </conditionalFormatting>
  <conditionalFormatting sqref="L12">
    <cfRule type="cellIs" priority="4" dxfId="2" operator="notEqual">
      <formula>"PASS"</formula>
    </cfRule>
  </conditionalFormatting>
  <conditionalFormatting sqref="L13">
    <cfRule type="cellIs" priority="3" dxfId="0" operator="notEqual">
      <formula>"PASS"</formula>
    </cfRule>
  </conditionalFormatting>
  <conditionalFormatting sqref="L14">
    <cfRule type="cellIs" priority="1" dxfId="0" operator="notEqual">
      <formula>"PASS"</formula>
    </cfRule>
  </conditionalFormatting>
  <dataValidations count="1">
    <dataValidation type="list" allowBlank="1" showInputMessage="1" showErrorMessage="1" sqref="B22:F22">
      <formula1>逆变器参数!$A2:$A22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0"/>
  <sheetViews>
    <sheetView workbookViewId="0" topLeftCell="A1">
      <selection activeCell="G15" sqref="G15"/>
    </sheetView>
  </sheetViews>
  <sheetFormatPr defaultColWidth="9.00390625" defaultRowHeight="14.25" customHeight="1"/>
  <cols>
    <col min="1" max="1" width="6.7109375" style="32" customWidth="1"/>
    <col min="2" max="2" width="5.00390625" style="47" bestFit="1" customWidth="1"/>
    <col min="3" max="3" width="37.00390625" style="47" bestFit="1" customWidth="1"/>
    <col min="4" max="4" width="5.00390625" style="47" bestFit="1" customWidth="1"/>
    <col min="5" max="5" width="12.57421875" style="47" customWidth="1"/>
    <col min="6" max="6" width="4.8515625" style="47" bestFit="1" customWidth="1"/>
    <col min="7" max="7" width="28.00390625" style="32" bestFit="1" customWidth="1"/>
    <col min="8" max="8" width="6.57421875" style="32" customWidth="1"/>
    <col min="9" max="16384" width="9.00390625" style="32" customWidth="1"/>
  </cols>
  <sheetData>
    <row r="1" ht="14.55" customHeight="1" thickBot="1"/>
    <row r="2" spans="2:7" ht="14.55" customHeight="1">
      <c r="B2" s="142" t="s">
        <v>74</v>
      </c>
      <c r="C2" s="143"/>
      <c r="D2" s="143"/>
      <c r="E2" s="143"/>
      <c r="F2" s="143"/>
      <c r="G2" s="144"/>
    </row>
    <row r="3" spans="2:7" ht="14.55" customHeight="1">
      <c r="B3" s="33" t="s">
        <v>61</v>
      </c>
      <c r="C3" s="145" t="s">
        <v>56</v>
      </c>
      <c r="D3" s="145"/>
      <c r="E3" s="40" t="s">
        <v>59</v>
      </c>
      <c r="F3" s="40" t="s">
        <v>60</v>
      </c>
      <c r="G3" s="20" t="s">
        <v>76</v>
      </c>
    </row>
    <row r="4" spans="2:7" ht="14.55" customHeight="1">
      <c r="B4" s="18">
        <v>1</v>
      </c>
      <c r="C4" s="21" t="s">
        <v>77</v>
      </c>
      <c r="D4" s="19" t="s">
        <v>30</v>
      </c>
      <c r="E4" s="27">
        <v>2000</v>
      </c>
      <c r="F4" s="80" t="s">
        <v>4</v>
      </c>
      <c r="G4" s="28"/>
    </row>
    <row r="5" spans="2:7" ht="14.55" customHeight="1">
      <c r="B5" s="18">
        <v>2</v>
      </c>
      <c r="C5" s="21" t="s">
        <v>78</v>
      </c>
      <c r="D5" s="19" t="s">
        <v>29</v>
      </c>
      <c r="E5" s="27">
        <v>30</v>
      </c>
      <c r="F5" s="80" t="s">
        <v>80</v>
      </c>
      <c r="G5" s="28"/>
    </row>
    <row r="6" spans="2:7" ht="14.55" customHeight="1">
      <c r="B6" s="18">
        <v>3</v>
      </c>
      <c r="C6" s="21" t="s">
        <v>79</v>
      </c>
      <c r="D6" s="19" t="s">
        <v>31</v>
      </c>
      <c r="E6" s="27">
        <v>30</v>
      </c>
      <c r="F6" s="80" t="s">
        <v>80</v>
      </c>
      <c r="G6" s="28"/>
    </row>
    <row r="7" spans="2:7" ht="14.55" customHeight="1">
      <c r="B7" s="18">
        <v>4</v>
      </c>
      <c r="C7" s="21" t="s">
        <v>81</v>
      </c>
      <c r="D7" s="19" t="s">
        <v>32</v>
      </c>
      <c r="E7" s="56">
        <f>E4*COS(RADIANS(E5))+E4*SIN(RADIANS(E5))*(0.707*TAN(RADIANS(ABS(E6)))+0.4338)/(0.707-0.4338*TAN(RADIANS(ABS(E6))))</f>
        <v>3576.3066957139536</v>
      </c>
      <c r="F7" s="81" t="s">
        <v>4</v>
      </c>
      <c r="G7" s="28"/>
    </row>
    <row r="8" spans="2:7" ht="14.55" customHeight="1" thickBot="1">
      <c r="B8" s="25"/>
      <c r="C8" s="26"/>
      <c r="D8" s="55"/>
      <c r="E8" s="61"/>
      <c r="F8" s="55"/>
      <c r="G8" s="54"/>
    </row>
    <row r="9" spans="2:5" ht="14.55" customHeight="1">
      <c r="B9" s="32"/>
      <c r="C9" s="32"/>
      <c r="E9" s="32"/>
    </row>
    <row r="10" spans="2:5" ht="14.55" customHeight="1">
      <c r="B10" s="32"/>
      <c r="E10" s="32"/>
    </row>
  </sheetData>
  <sheetProtection algorithmName="SHA-512" hashValue="x+Nj9Ae0zNP5Hp682gsN8JoB1vH52hOHtlHJActyRWBmu//QY35sToEF1J+N+ENJ4UacI1hHBm+lfqbxAo5PHQ==" saltValue="UsVV7Mv6tMgaSOJV4yAiCg==" spinCount="100000" sheet="1" objects="1" scenarios="1"/>
  <protectedRanges>
    <protectedRange sqref="E4:E6" name="区域1"/>
  </protectedRanges>
  <mergeCells count="2">
    <mergeCell ref="B2:G2"/>
    <mergeCell ref="C3:D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21D8F-2C31-44B0-A32B-76382ED27E1C}">
  <dimension ref="B1:F26"/>
  <sheetViews>
    <sheetView workbookViewId="0" topLeftCell="A1">
      <selection activeCell="F19" sqref="F19"/>
    </sheetView>
  </sheetViews>
  <sheetFormatPr defaultColWidth="9.140625" defaultRowHeight="15"/>
  <cols>
    <col min="1" max="1" width="2.421875" style="0" customWidth="1"/>
    <col min="2" max="2" width="5.00390625" style="58" bestFit="1" customWidth="1"/>
    <col min="3" max="3" width="29.57421875" style="0" bestFit="1" customWidth="1"/>
    <col min="4" max="4" width="14.28125" style="0" customWidth="1"/>
    <col min="5" max="5" width="6.28125" style="58" bestFit="1" customWidth="1"/>
    <col min="6" max="6" width="64.00390625" style="0" customWidth="1"/>
  </cols>
  <sheetData>
    <row r="1" spans="2:6" ht="14.25" thickBot="1">
      <c r="B1" s="16"/>
      <c r="C1" s="17"/>
      <c r="D1" s="17"/>
      <c r="E1" s="16"/>
      <c r="F1" s="32"/>
    </row>
    <row r="2" spans="2:6" ht="13.9">
      <c r="B2" s="146" t="s">
        <v>83</v>
      </c>
      <c r="C2" s="147"/>
      <c r="D2" s="147"/>
      <c r="E2" s="147"/>
      <c r="F2" s="148"/>
    </row>
    <row r="3" spans="2:6" ht="13.9">
      <c r="B3" s="18" t="s">
        <v>84</v>
      </c>
      <c r="C3" s="19" t="s">
        <v>87</v>
      </c>
      <c r="D3" s="19" t="s">
        <v>59</v>
      </c>
      <c r="E3" s="19" t="s">
        <v>60</v>
      </c>
      <c r="F3" s="20" t="s">
        <v>76</v>
      </c>
    </row>
    <row r="4" spans="2:6" s="69" customFormat="1" ht="13.9">
      <c r="B4" s="18">
        <v>1</v>
      </c>
      <c r="C4" s="68" t="s">
        <v>132</v>
      </c>
      <c r="D4" s="71">
        <v>230</v>
      </c>
      <c r="E4" s="19" t="s">
        <v>1</v>
      </c>
      <c r="F4" s="76" t="s">
        <v>133</v>
      </c>
    </row>
    <row r="5" spans="2:6" ht="13.9">
      <c r="B5" s="18">
        <v>2</v>
      </c>
      <c r="C5" s="46" t="s">
        <v>131</v>
      </c>
      <c r="D5" s="72">
        <v>6</v>
      </c>
      <c r="E5" s="19" t="s">
        <v>22</v>
      </c>
      <c r="F5" s="28" t="s">
        <v>134</v>
      </c>
    </row>
    <row r="6" spans="2:6" ht="13.9">
      <c r="B6" s="18">
        <v>3</v>
      </c>
      <c r="C6" s="46" t="s">
        <v>88</v>
      </c>
      <c r="D6" s="71">
        <v>45</v>
      </c>
      <c r="E6" s="19" t="s">
        <v>16</v>
      </c>
      <c r="F6" s="28" t="s">
        <v>89</v>
      </c>
    </row>
    <row r="7" spans="2:6" ht="13.9">
      <c r="B7" s="18">
        <v>4</v>
      </c>
      <c r="C7" s="46" t="s">
        <v>90</v>
      </c>
      <c r="D7" s="71">
        <v>30</v>
      </c>
      <c r="E7" s="19" t="s">
        <v>17</v>
      </c>
      <c r="F7" s="28" t="s">
        <v>91</v>
      </c>
    </row>
    <row r="8" spans="2:6" ht="15.4">
      <c r="B8" s="18">
        <v>5</v>
      </c>
      <c r="C8" s="46" t="s">
        <v>136</v>
      </c>
      <c r="D8" s="22">
        <v>1</v>
      </c>
      <c r="E8" s="19" t="s">
        <v>18</v>
      </c>
      <c r="F8" s="28" t="s">
        <v>135</v>
      </c>
    </row>
    <row r="9" spans="2:6" ht="13.9">
      <c r="B9" s="18">
        <v>6</v>
      </c>
      <c r="C9" s="46" t="s">
        <v>92</v>
      </c>
      <c r="D9" s="22">
        <v>1</v>
      </c>
      <c r="E9" s="19"/>
      <c r="F9" s="28" t="s">
        <v>93</v>
      </c>
    </row>
    <row r="10" spans="2:6" ht="13.9">
      <c r="B10" s="18">
        <v>7</v>
      </c>
      <c r="C10" s="46" t="s">
        <v>94</v>
      </c>
      <c r="D10" s="77">
        <f>VLOOKUP(D8,'直流电阻'!$A$4:$G$27,2,FALSE)</f>
        <v>18.1</v>
      </c>
      <c r="E10" s="19" t="s">
        <v>21</v>
      </c>
      <c r="F10" s="28" t="s">
        <v>95</v>
      </c>
    </row>
    <row r="11" spans="2:6" ht="13.9">
      <c r="B11" s="18">
        <v>8</v>
      </c>
      <c r="C11" s="46" t="s">
        <v>96</v>
      </c>
      <c r="D11" s="77">
        <f>((D10*D7/1000)*(235+D6)/(235+20))/D9</f>
        <v>0.5962352941176471</v>
      </c>
      <c r="E11" s="19" t="s">
        <v>6</v>
      </c>
      <c r="F11" s="28" t="s">
        <v>95</v>
      </c>
    </row>
    <row r="12" spans="2:6" ht="14.65">
      <c r="B12" s="18">
        <v>9</v>
      </c>
      <c r="C12" s="46" t="s">
        <v>97</v>
      </c>
      <c r="D12" s="70">
        <f>1000*D5/(D4)*D11</f>
        <v>15.553964194373401</v>
      </c>
      <c r="E12" s="19" t="s">
        <v>7</v>
      </c>
      <c r="F12" s="28" t="s">
        <v>95</v>
      </c>
    </row>
    <row r="13" spans="2:6" ht="13.9" thickBot="1">
      <c r="B13" s="78"/>
      <c r="C13" s="74"/>
      <c r="D13" s="74"/>
      <c r="E13" s="79"/>
      <c r="F13" s="75"/>
    </row>
    <row r="14" ht="13.9" thickBot="1"/>
    <row r="15" spans="2:6" ht="13.9">
      <c r="B15" s="146" t="s">
        <v>82</v>
      </c>
      <c r="C15" s="147"/>
      <c r="D15" s="147"/>
      <c r="E15" s="147"/>
      <c r="F15" s="148"/>
    </row>
    <row r="16" spans="2:6" ht="13.9">
      <c r="B16" s="18" t="str">
        <f>B3</f>
        <v>NO.</v>
      </c>
      <c r="C16" s="19" t="str">
        <f>C3</f>
        <v>Type</v>
      </c>
      <c r="D16" s="19" t="str">
        <f>D3</f>
        <v>Value</v>
      </c>
      <c r="E16" s="19" t="str">
        <f>E3</f>
        <v>Unit</v>
      </c>
      <c r="F16" s="19" t="str">
        <f>F3</f>
        <v>Remark</v>
      </c>
    </row>
    <row r="17" spans="2:6" ht="13.9">
      <c r="B17" s="18">
        <f aca="true" t="shared" si="0" ref="B17:C25">B4</f>
        <v>1</v>
      </c>
      <c r="C17" s="68" t="str">
        <f t="shared" si="0"/>
        <v>Voltage</v>
      </c>
      <c r="D17" s="71">
        <v>400</v>
      </c>
      <c r="E17" s="19" t="s">
        <v>1</v>
      </c>
      <c r="F17" s="76" t="str">
        <f>F4</f>
        <v>The local standard voltage</v>
      </c>
    </row>
    <row r="18" spans="2:6" ht="13.9">
      <c r="B18" s="18">
        <f t="shared" si="0"/>
        <v>2</v>
      </c>
      <c r="C18" s="68" t="str">
        <f t="shared" si="0"/>
        <v>Power</v>
      </c>
      <c r="D18" s="72">
        <v>200</v>
      </c>
      <c r="E18" s="19" t="s">
        <v>22</v>
      </c>
      <c r="F18" s="76" t="str">
        <f aca="true" t="shared" si="1" ref="F18:F25">F5</f>
        <v>The power running on the cable</v>
      </c>
    </row>
    <row r="19" spans="2:6" ht="13.9">
      <c r="B19" s="18">
        <f t="shared" si="0"/>
        <v>3</v>
      </c>
      <c r="C19" s="68" t="str">
        <f t="shared" si="0"/>
        <v xml:space="preserve">Environment temperature </v>
      </c>
      <c r="D19" s="71">
        <v>45</v>
      </c>
      <c r="E19" s="19" t="s">
        <v>16</v>
      </c>
      <c r="F19" s="76" t="str">
        <f t="shared" si="1"/>
        <v xml:space="preserve">The maximum environment temperature </v>
      </c>
    </row>
    <row r="20" spans="2:6" ht="13.9">
      <c r="B20" s="18">
        <f t="shared" si="0"/>
        <v>4</v>
      </c>
      <c r="C20" s="68" t="str">
        <f t="shared" si="0"/>
        <v>AC cable length</v>
      </c>
      <c r="D20" s="71">
        <v>250</v>
      </c>
      <c r="E20" s="19" t="s">
        <v>17</v>
      </c>
      <c r="F20" s="76" t="str">
        <f t="shared" si="1"/>
        <v>Inverter output AC cable length</v>
      </c>
    </row>
    <row r="21" spans="2:6" ht="15.4">
      <c r="B21" s="18">
        <f t="shared" si="0"/>
        <v>5</v>
      </c>
      <c r="C21" s="68" t="str">
        <f t="shared" si="0"/>
        <v>AC cable specification</v>
      </c>
      <c r="D21" s="22">
        <v>50</v>
      </c>
      <c r="E21" s="19" t="s">
        <v>18</v>
      </c>
      <c r="F21" s="76" t="str">
        <f t="shared" si="1"/>
        <v>Sectional cross sectional area of AC cable</v>
      </c>
    </row>
    <row r="22" spans="2:6" ht="13.9">
      <c r="B22" s="18">
        <f t="shared" si="0"/>
        <v>6</v>
      </c>
      <c r="C22" s="68" t="str">
        <f t="shared" si="0"/>
        <v>Number of cables in parallel</v>
      </c>
      <c r="D22" s="22">
        <v>1</v>
      </c>
      <c r="E22" s="19"/>
      <c r="F22" s="76" t="str">
        <f t="shared" si="1"/>
        <v>If multiple cables are used in parallel, fill in the corresponding number</v>
      </c>
    </row>
    <row r="23" spans="2:6" ht="13.9">
      <c r="B23" s="18">
        <f t="shared" si="0"/>
        <v>7</v>
      </c>
      <c r="C23" s="68" t="str">
        <f t="shared" si="0"/>
        <v>Standard DC resistance</v>
      </c>
      <c r="D23" s="77">
        <f>VLOOKUP(D21,'直流电阻'!$A$4:$G$27,2,FALSE)</f>
        <v>0.387</v>
      </c>
      <c r="E23" s="19" t="s">
        <v>21</v>
      </c>
      <c r="F23" s="76" t="str">
        <f t="shared" si="1"/>
        <v>Autocomputed value</v>
      </c>
    </row>
    <row r="24" spans="2:6" ht="13.9">
      <c r="B24" s="18">
        <f t="shared" si="0"/>
        <v>8</v>
      </c>
      <c r="C24" s="68" t="str">
        <f t="shared" si="0"/>
        <v>AC cable resistance</v>
      </c>
      <c r="D24" s="77">
        <f>((D23*D20/1000)*(235+D19)/(235+20))/D22</f>
        <v>0.10623529411764705</v>
      </c>
      <c r="E24" s="19" t="s">
        <v>6</v>
      </c>
      <c r="F24" s="76" t="str">
        <f t="shared" si="1"/>
        <v>Autocomputed value</v>
      </c>
    </row>
    <row r="25" spans="2:6" ht="14.65">
      <c r="B25" s="18">
        <f t="shared" si="0"/>
        <v>9</v>
      </c>
      <c r="C25" s="68" t="str">
        <f t="shared" si="0"/>
        <v>AC cable voltage drop</v>
      </c>
      <c r="D25" s="70">
        <f>1.732*(1000*D18/(1.732*D17))*D24</f>
        <v>53.11764705882353</v>
      </c>
      <c r="E25" s="19" t="s">
        <v>1</v>
      </c>
      <c r="F25" s="76" t="str">
        <f t="shared" si="1"/>
        <v>Autocomputed value</v>
      </c>
    </row>
    <row r="26" spans="2:6" ht="13.9" thickBot="1">
      <c r="B26" s="78"/>
      <c r="C26" s="74"/>
      <c r="D26" s="74"/>
      <c r="E26" s="79"/>
      <c r="F26" s="75"/>
    </row>
  </sheetData>
  <sheetProtection algorithmName="SHA-512" hashValue="CJsx0pVVJzDu+4H6oeskoilJ/yTuVorclhO1qtDl4Uy+VtMq/KCRIAKT0U1Eex0u10C+mlJinoF4Lrg2fUnAKw==" saltValue="yt4pptORT/MpiC/9tYokhw==" spinCount="100000" sheet="1" objects="1" scenarios="1"/>
  <protectedRanges>
    <protectedRange sqref="D17:D22" name="区域2"/>
    <protectedRange sqref="D4:D9" name="区域1"/>
  </protectedRanges>
  <mergeCells count="2">
    <mergeCell ref="B2:F2"/>
    <mergeCell ref="B15:F15"/>
  </mergeCells>
  <dataValidations count="1">
    <dataValidation type="list" allowBlank="1" showInputMessage="1" showErrorMessage="1" sqref="D8 D21">
      <formula1>直流电阻!$A$4:$A$27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C6CBF-261B-498D-BE5F-F15AD778A52F}">
  <dimension ref="B1:AH19"/>
  <sheetViews>
    <sheetView workbookViewId="0" topLeftCell="A1">
      <selection activeCell="F24" sqref="F24"/>
    </sheetView>
  </sheetViews>
  <sheetFormatPr defaultColWidth="9.140625" defaultRowHeight="15"/>
  <cols>
    <col min="1" max="1" width="2.00390625" style="0" customWidth="1"/>
    <col min="2" max="2" width="5.00390625" style="0" bestFit="1" customWidth="1"/>
    <col min="3" max="3" width="38.28125" style="0" bestFit="1" customWidth="1"/>
    <col min="4" max="4" width="14.28125" style="0" customWidth="1"/>
    <col min="5" max="5" width="11.00390625" style="58" bestFit="1" customWidth="1"/>
    <col min="6" max="6" width="61.00390625" style="0" customWidth="1"/>
    <col min="7" max="7" width="5.28125" style="0" customWidth="1"/>
    <col min="8" max="8" width="26.00390625" style="0" hidden="1" customWidth="1"/>
    <col min="9" max="9" width="11.00390625" style="0" hidden="1" customWidth="1"/>
    <col min="10" max="10" width="10.8515625" style="0" hidden="1" customWidth="1"/>
    <col min="11" max="17" width="9.57421875" style="0" hidden="1" customWidth="1"/>
    <col min="18" max="34" width="10.00390625" style="0" hidden="1" customWidth="1"/>
  </cols>
  <sheetData>
    <row r="1" spans="2:11" ht="15" thickBot="1">
      <c r="B1" s="36"/>
      <c r="C1" s="37"/>
      <c r="D1" s="38"/>
      <c r="E1" s="36"/>
      <c r="F1" s="34"/>
      <c r="G1" s="39"/>
      <c r="H1" s="39"/>
      <c r="I1" s="39"/>
      <c r="J1" s="39"/>
      <c r="K1" s="39"/>
    </row>
    <row r="2" spans="2:11" ht="14.25" thickBot="1">
      <c r="B2" s="146" t="s">
        <v>98</v>
      </c>
      <c r="C2" s="147"/>
      <c r="D2" s="147"/>
      <c r="E2" s="147"/>
      <c r="F2" s="148"/>
      <c r="G2" s="32"/>
      <c r="H2" s="39"/>
      <c r="I2" s="39"/>
      <c r="J2" s="39"/>
      <c r="K2" s="39"/>
    </row>
    <row r="3" spans="2:34" ht="13.9">
      <c r="B3" s="33" t="s">
        <v>84</v>
      </c>
      <c r="C3" s="40" t="s">
        <v>86</v>
      </c>
      <c r="D3" s="40" t="s">
        <v>58</v>
      </c>
      <c r="E3" s="40" t="s">
        <v>85</v>
      </c>
      <c r="F3" s="41" t="s">
        <v>75</v>
      </c>
      <c r="G3" s="39"/>
      <c r="H3" s="89" t="s">
        <v>118</v>
      </c>
      <c r="I3" s="90" t="s">
        <v>117</v>
      </c>
      <c r="J3" s="90">
        <v>1</v>
      </c>
      <c r="K3" s="90">
        <v>2</v>
      </c>
      <c r="L3" s="90">
        <v>3</v>
      </c>
      <c r="M3" s="90">
        <v>4</v>
      </c>
      <c r="N3" s="90">
        <v>5</v>
      </c>
      <c r="O3" s="90">
        <v>6</v>
      </c>
      <c r="P3" s="90">
        <v>7</v>
      </c>
      <c r="Q3" s="90">
        <v>8</v>
      </c>
      <c r="R3" s="90">
        <v>9</v>
      </c>
      <c r="S3" s="90">
        <v>10</v>
      </c>
      <c r="T3" s="90">
        <v>11</v>
      </c>
      <c r="U3" s="90">
        <v>12</v>
      </c>
      <c r="V3" s="90">
        <v>13</v>
      </c>
      <c r="W3" s="90">
        <v>14</v>
      </c>
      <c r="X3" s="90">
        <v>15</v>
      </c>
      <c r="Y3" s="90">
        <v>16</v>
      </c>
      <c r="Z3" s="90">
        <v>17</v>
      </c>
      <c r="AA3" s="90">
        <v>18</v>
      </c>
      <c r="AB3" s="90">
        <v>19</v>
      </c>
      <c r="AC3" s="90">
        <v>20</v>
      </c>
      <c r="AD3" s="90">
        <v>21</v>
      </c>
      <c r="AE3" s="90">
        <v>22</v>
      </c>
      <c r="AF3" s="90">
        <v>23</v>
      </c>
      <c r="AG3" s="90">
        <v>24</v>
      </c>
      <c r="AH3" s="91">
        <v>25</v>
      </c>
    </row>
    <row r="4" spans="2:34" ht="15">
      <c r="B4" s="33">
        <v>1</v>
      </c>
      <c r="C4" s="42" t="s">
        <v>99</v>
      </c>
      <c r="D4" s="43">
        <v>5</v>
      </c>
      <c r="E4" s="40" t="s">
        <v>20</v>
      </c>
      <c r="F4" s="30"/>
      <c r="G4" s="39"/>
      <c r="H4" s="92" t="s">
        <v>119</v>
      </c>
      <c r="I4" s="83">
        <f aca="true" t="shared" si="0" ref="I4:I6">SUM(J4:AH4)</f>
        <v>15000</v>
      </c>
      <c r="J4" s="83">
        <f>D5</f>
        <v>15000</v>
      </c>
      <c r="K4" s="8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4"/>
    </row>
    <row r="5" spans="2:34" ht="15">
      <c r="B5" s="33">
        <v>2</v>
      </c>
      <c r="C5" s="42" t="s">
        <v>100</v>
      </c>
      <c r="D5" s="43">
        <v>15000</v>
      </c>
      <c r="E5" s="40" t="s">
        <v>101</v>
      </c>
      <c r="F5" s="30" t="s">
        <v>140</v>
      </c>
      <c r="G5" s="39"/>
      <c r="H5" s="95" t="s">
        <v>120</v>
      </c>
      <c r="I5" s="83">
        <f t="shared" si="0"/>
        <v>137695.0064006411</v>
      </c>
      <c r="J5" s="93">
        <f>IF(J3&lt;$D$9,D6*(1-D7),0)</f>
        <v>5880</v>
      </c>
      <c r="K5" s="93">
        <f>IF(J3&lt;$D$9,J5*(1-$D$8),0)</f>
        <v>5847.66</v>
      </c>
      <c r="L5" s="93">
        <f aca="true" t="shared" si="1" ref="L5:AH5">IF(K3&lt;$D$9,K5*(1-$D$8),0)</f>
        <v>5815.49787</v>
      </c>
      <c r="M5" s="93">
        <f t="shared" si="1"/>
        <v>5783.512631715001</v>
      </c>
      <c r="N5" s="93">
        <f t="shared" si="1"/>
        <v>5751.703312240568</v>
      </c>
      <c r="O5" s="93">
        <f t="shared" si="1"/>
        <v>5720.068944023245</v>
      </c>
      <c r="P5" s="93">
        <f t="shared" si="1"/>
        <v>5688.608564831118</v>
      </c>
      <c r="Q5" s="93">
        <f t="shared" si="1"/>
        <v>5657.321217724548</v>
      </c>
      <c r="R5" s="93">
        <f t="shared" si="1"/>
        <v>5626.205951027063</v>
      </c>
      <c r="S5" s="93">
        <f t="shared" si="1"/>
        <v>5595.261818296414</v>
      </c>
      <c r="T5" s="93">
        <f t="shared" si="1"/>
        <v>5564.487878295784</v>
      </c>
      <c r="U5" s="93">
        <f t="shared" si="1"/>
        <v>5533.883194965158</v>
      </c>
      <c r="V5" s="93">
        <f t="shared" si="1"/>
        <v>5503.446837392849</v>
      </c>
      <c r="W5" s="93">
        <f t="shared" si="1"/>
        <v>5473.177879787189</v>
      </c>
      <c r="X5" s="93">
        <f t="shared" si="1"/>
        <v>5443.07540144836</v>
      </c>
      <c r="Y5" s="93">
        <f t="shared" si="1"/>
        <v>5413.138486740394</v>
      </c>
      <c r="Z5" s="93">
        <f t="shared" si="1"/>
        <v>5383.366225063322</v>
      </c>
      <c r="AA5" s="93">
        <f t="shared" si="1"/>
        <v>5353.7577108254745</v>
      </c>
      <c r="AB5" s="93">
        <f t="shared" si="1"/>
        <v>5324.312043415935</v>
      </c>
      <c r="AC5" s="93">
        <f t="shared" si="1"/>
        <v>5295.028327177147</v>
      </c>
      <c r="AD5" s="93">
        <f t="shared" si="1"/>
        <v>5265.905671377673</v>
      </c>
      <c r="AE5" s="93">
        <f t="shared" si="1"/>
        <v>5236.943190185096</v>
      </c>
      <c r="AF5" s="93">
        <f t="shared" si="1"/>
        <v>5208.140002639078</v>
      </c>
      <c r="AG5" s="93">
        <f t="shared" si="1"/>
        <v>5179.495232624564</v>
      </c>
      <c r="AH5" s="93">
        <f t="shared" si="1"/>
        <v>5151.008008845129</v>
      </c>
    </row>
    <row r="6" spans="2:34" ht="13.9">
      <c r="B6" s="33">
        <v>3</v>
      </c>
      <c r="C6" s="42" t="s">
        <v>142</v>
      </c>
      <c r="D6" s="43">
        <v>6000</v>
      </c>
      <c r="E6" s="40" t="s">
        <v>102</v>
      </c>
      <c r="F6" s="30" t="s">
        <v>144</v>
      </c>
      <c r="G6" s="39"/>
      <c r="H6" s="92" t="s">
        <v>121</v>
      </c>
      <c r="I6" s="83">
        <f t="shared" si="0"/>
        <v>72978.3533923398</v>
      </c>
      <c r="J6" s="83">
        <f aca="true" t="shared" si="2" ref="J6:AH6">J5*$D$13</f>
        <v>3116.4</v>
      </c>
      <c r="K6" s="83">
        <f t="shared" si="2"/>
        <v>3099.2598000000003</v>
      </c>
      <c r="L6" s="83">
        <f t="shared" si="2"/>
        <v>3082.2138711000002</v>
      </c>
      <c r="M6" s="83">
        <f t="shared" si="2"/>
        <v>3065.2616948089503</v>
      </c>
      <c r="N6" s="83">
        <f t="shared" si="2"/>
        <v>3048.4027554875015</v>
      </c>
      <c r="O6" s="83">
        <f t="shared" si="2"/>
        <v>3031.6365403323202</v>
      </c>
      <c r="P6" s="83">
        <f t="shared" si="2"/>
        <v>3014.962539360493</v>
      </c>
      <c r="Q6" s="83">
        <f t="shared" si="2"/>
        <v>2998.3802453940107</v>
      </c>
      <c r="R6" s="83">
        <f t="shared" si="2"/>
        <v>2981.8891540443433</v>
      </c>
      <c r="S6" s="83">
        <f t="shared" si="2"/>
        <v>2965.4887636971</v>
      </c>
      <c r="T6" s="83">
        <f t="shared" si="2"/>
        <v>2949.1785754967655</v>
      </c>
      <c r="U6" s="83">
        <f t="shared" si="2"/>
        <v>2932.9580933315337</v>
      </c>
      <c r="V6" s="83">
        <f t="shared" si="2"/>
        <v>2916.8268238182104</v>
      </c>
      <c r="W6" s="83">
        <f t="shared" si="2"/>
        <v>2900.7842762872106</v>
      </c>
      <c r="X6" s="83">
        <f t="shared" si="2"/>
        <v>2884.829962767631</v>
      </c>
      <c r="Y6" s="83">
        <f t="shared" si="2"/>
        <v>2868.963397972409</v>
      </c>
      <c r="Z6" s="83">
        <f t="shared" si="2"/>
        <v>2853.184099283561</v>
      </c>
      <c r="AA6" s="83">
        <f t="shared" si="2"/>
        <v>2837.4915867375016</v>
      </c>
      <c r="AB6" s="83">
        <f t="shared" si="2"/>
        <v>2821.8853830104454</v>
      </c>
      <c r="AC6" s="83">
        <f t="shared" si="2"/>
        <v>2806.365013403888</v>
      </c>
      <c r="AD6" s="83">
        <f t="shared" si="2"/>
        <v>2790.9300058301665</v>
      </c>
      <c r="AE6" s="83">
        <f t="shared" si="2"/>
        <v>2775.5798907981007</v>
      </c>
      <c r="AF6" s="83">
        <f t="shared" si="2"/>
        <v>2760.3142013987117</v>
      </c>
      <c r="AG6" s="83">
        <f t="shared" si="2"/>
        <v>2745.132473291019</v>
      </c>
      <c r="AH6" s="96">
        <f t="shared" si="2"/>
        <v>2730.0342446879185</v>
      </c>
    </row>
    <row r="7" spans="2:34" ht="13.9">
      <c r="B7" s="33">
        <v>4</v>
      </c>
      <c r="C7" s="42" t="s">
        <v>103</v>
      </c>
      <c r="D7" s="44">
        <v>0.02</v>
      </c>
      <c r="E7" s="40" t="s">
        <v>105</v>
      </c>
      <c r="F7" s="149" t="s">
        <v>137</v>
      </c>
      <c r="G7" s="39"/>
      <c r="H7" s="92" t="s">
        <v>122</v>
      </c>
      <c r="I7" s="83">
        <f>SUM(J7:AH7)</f>
        <v>57978.35339233979</v>
      </c>
      <c r="J7" s="83">
        <f>-J4+J6</f>
        <v>-11883.6</v>
      </c>
      <c r="K7" s="83">
        <f>-K4+K6</f>
        <v>3099.2598000000003</v>
      </c>
      <c r="L7" s="83">
        <f aca="true" t="shared" si="3" ref="L7:AH7">-L4+L6</f>
        <v>3082.2138711000002</v>
      </c>
      <c r="M7" s="83">
        <f t="shared" si="3"/>
        <v>3065.2616948089503</v>
      </c>
      <c r="N7" s="83">
        <f t="shared" si="3"/>
        <v>3048.4027554875015</v>
      </c>
      <c r="O7" s="83">
        <f t="shared" si="3"/>
        <v>3031.6365403323202</v>
      </c>
      <c r="P7" s="83">
        <f t="shared" si="3"/>
        <v>3014.962539360493</v>
      </c>
      <c r="Q7" s="83">
        <f t="shared" si="3"/>
        <v>2998.3802453940107</v>
      </c>
      <c r="R7" s="83">
        <f t="shared" si="3"/>
        <v>2981.8891540443433</v>
      </c>
      <c r="S7" s="83">
        <f t="shared" si="3"/>
        <v>2965.4887636971</v>
      </c>
      <c r="T7" s="83">
        <f t="shared" si="3"/>
        <v>2949.1785754967655</v>
      </c>
      <c r="U7" s="83">
        <f t="shared" si="3"/>
        <v>2932.9580933315337</v>
      </c>
      <c r="V7" s="83">
        <f t="shared" si="3"/>
        <v>2916.8268238182104</v>
      </c>
      <c r="W7" s="83">
        <f t="shared" si="3"/>
        <v>2900.7842762872106</v>
      </c>
      <c r="X7" s="83">
        <f t="shared" si="3"/>
        <v>2884.829962767631</v>
      </c>
      <c r="Y7" s="83">
        <f t="shared" si="3"/>
        <v>2868.963397972409</v>
      </c>
      <c r="Z7" s="83">
        <f t="shared" si="3"/>
        <v>2853.184099283561</v>
      </c>
      <c r="AA7" s="83">
        <f t="shared" si="3"/>
        <v>2837.4915867375016</v>
      </c>
      <c r="AB7" s="83">
        <f t="shared" si="3"/>
        <v>2821.8853830104454</v>
      </c>
      <c r="AC7" s="83">
        <f t="shared" si="3"/>
        <v>2806.365013403888</v>
      </c>
      <c r="AD7" s="83">
        <f t="shared" si="3"/>
        <v>2790.9300058301665</v>
      </c>
      <c r="AE7" s="83">
        <f t="shared" si="3"/>
        <v>2775.5798907981007</v>
      </c>
      <c r="AF7" s="83">
        <f t="shared" si="3"/>
        <v>2760.3142013987117</v>
      </c>
      <c r="AG7" s="83">
        <f t="shared" si="3"/>
        <v>2745.132473291019</v>
      </c>
      <c r="AH7" s="83">
        <f t="shared" si="3"/>
        <v>2730.0342446879185</v>
      </c>
    </row>
    <row r="8" spans="2:34" ht="13.9">
      <c r="B8" s="33">
        <v>5</v>
      </c>
      <c r="C8" s="42" t="s">
        <v>104</v>
      </c>
      <c r="D8" s="44">
        <v>0.0055</v>
      </c>
      <c r="E8" s="40" t="s">
        <v>105</v>
      </c>
      <c r="F8" s="150"/>
      <c r="G8" s="39"/>
      <c r="H8" s="95" t="s">
        <v>123</v>
      </c>
      <c r="I8" s="83"/>
      <c r="J8" s="83">
        <f aca="true" t="shared" si="4" ref="J8:AH8">IF(J3&gt;$D$9,0,(I8+J7))</f>
        <v>-11883.6</v>
      </c>
      <c r="K8" s="83">
        <f t="shared" si="4"/>
        <v>-8784.3402</v>
      </c>
      <c r="L8" s="83">
        <f t="shared" si="4"/>
        <v>-5702.1263289</v>
      </c>
      <c r="M8" s="83">
        <f t="shared" si="4"/>
        <v>-2636.8646340910495</v>
      </c>
      <c r="N8" s="83">
        <f t="shared" si="4"/>
        <v>411.53812139645197</v>
      </c>
      <c r="O8" s="83">
        <f t="shared" si="4"/>
        <v>3443.174661728772</v>
      </c>
      <c r="P8" s="83">
        <f t="shared" si="4"/>
        <v>6458.137201089265</v>
      </c>
      <c r="Q8" s="83">
        <f t="shared" si="4"/>
        <v>9456.517446483274</v>
      </c>
      <c r="R8" s="83">
        <f t="shared" si="4"/>
        <v>12438.406600527618</v>
      </c>
      <c r="S8" s="83">
        <f t="shared" si="4"/>
        <v>15403.895364224718</v>
      </c>
      <c r="T8" s="83">
        <f t="shared" si="4"/>
        <v>18353.073939721482</v>
      </c>
      <c r="U8" s="83">
        <f t="shared" si="4"/>
        <v>21286.032033053016</v>
      </c>
      <c r="V8" s="83">
        <f t="shared" si="4"/>
        <v>24202.858856871226</v>
      </c>
      <c r="W8" s="83">
        <f t="shared" si="4"/>
        <v>27103.643133158435</v>
      </c>
      <c r="X8" s="83">
        <f t="shared" si="4"/>
        <v>29988.473095926067</v>
      </c>
      <c r="Y8" s="83">
        <f t="shared" si="4"/>
        <v>32857.43649389847</v>
      </c>
      <c r="Z8" s="83">
        <f t="shared" si="4"/>
        <v>35710.62059318204</v>
      </c>
      <c r="AA8" s="83">
        <f t="shared" si="4"/>
        <v>38548.11217991954</v>
      </c>
      <c r="AB8" s="83">
        <f t="shared" si="4"/>
        <v>41369.99756292999</v>
      </c>
      <c r="AC8" s="83">
        <f t="shared" si="4"/>
        <v>44176.36257633388</v>
      </c>
      <c r="AD8" s="83">
        <f t="shared" si="4"/>
        <v>46967.292582164046</v>
      </c>
      <c r="AE8" s="83">
        <f t="shared" si="4"/>
        <v>49742.872472962146</v>
      </c>
      <c r="AF8" s="83">
        <f t="shared" si="4"/>
        <v>52503.186674360855</v>
      </c>
      <c r="AG8" s="83">
        <f t="shared" si="4"/>
        <v>55248.31914765188</v>
      </c>
      <c r="AH8" s="96">
        <f t="shared" si="4"/>
        <v>57978.35339233979</v>
      </c>
    </row>
    <row r="9" spans="2:34" ht="15">
      <c r="B9" s="33">
        <v>6</v>
      </c>
      <c r="C9" s="21" t="s">
        <v>106</v>
      </c>
      <c r="D9" s="22">
        <v>25</v>
      </c>
      <c r="E9" s="85" t="s">
        <v>107</v>
      </c>
      <c r="F9" s="45"/>
      <c r="G9" s="39"/>
      <c r="H9" s="92" t="s">
        <v>124</v>
      </c>
      <c r="I9" s="86">
        <f>IRR(J7:AH7)</f>
        <v>0.25430802406449504</v>
      </c>
      <c r="J9" s="93"/>
      <c r="K9" s="8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</row>
    <row r="10" spans="2:34" ht="14.25" thickBot="1">
      <c r="B10" s="33">
        <v>7</v>
      </c>
      <c r="C10" s="21" t="s">
        <v>108</v>
      </c>
      <c r="D10" s="50">
        <v>0.53</v>
      </c>
      <c r="E10" s="85" t="s">
        <v>109</v>
      </c>
      <c r="F10" s="151" t="s">
        <v>138</v>
      </c>
      <c r="G10" s="39"/>
      <c r="H10" s="97" t="s">
        <v>116</v>
      </c>
      <c r="I10" s="84">
        <f>SUMIF(J10:AH10,"&lt;9E307")</f>
        <v>4.864998770042563</v>
      </c>
      <c r="J10" s="84">
        <f aca="true" t="shared" si="5" ref="J10:AH10">IF(J8&lt;0,1,0)+IF(J8&gt;0,1-J8/J7)*IF(J8/J7&lt;1,1,0)</f>
        <v>1</v>
      </c>
      <c r="K10" s="84">
        <f t="shared" si="5"/>
        <v>1</v>
      </c>
      <c r="L10" s="84">
        <f t="shared" si="5"/>
        <v>1</v>
      </c>
      <c r="M10" s="84">
        <f t="shared" si="5"/>
        <v>1</v>
      </c>
      <c r="N10" s="84">
        <f t="shared" si="5"/>
        <v>0.8649987700425632</v>
      </c>
      <c r="O10" s="84">
        <f t="shared" si="5"/>
        <v>0</v>
      </c>
      <c r="P10" s="84">
        <f t="shared" si="5"/>
        <v>0</v>
      </c>
      <c r="Q10" s="84">
        <f t="shared" si="5"/>
        <v>0</v>
      </c>
      <c r="R10" s="84">
        <f t="shared" si="5"/>
        <v>0</v>
      </c>
      <c r="S10" s="84">
        <f t="shared" si="5"/>
        <v>0</v>
      </c>
      <c r="T10" s="84">
        <f t="shared" si="5"/>
        <v>0</v>
      </c>
      <c r="U10" s="84">
        <f t="shared" si="5"/>
        <v>0</v>
      </c>
      <c r="V10" s="84">
        <f t="shared" si="5"/>
        <v>0</v>
      </c>
      <c r="W10" s="84">
        <f t="shared" si="5"/>
        <v>0</v>
      </c>
      <c r="X10" s="84">
        <f t="shared" si="5"/>
        <v>0</v>
      </c>
      <c r="Y10" s="84">
        <f t="shared" si="5"/>
        <v>0</v>
      </c>
      <c r="Z10" s="84">
        <f t="shared" si="5"/>
        <v>0</v>
      </c>
      <c r="AA10" s="84">
        <f t="shared" si="5"/>
        <v>0</v>
      </c>
      <c r="AB10" s="84">
        <f t="shared" si="5"/>
        <v>0</v>
      </c>
      <c r="AC10" s="84">
        <f t="shared" si="5"/>
        <v>0</v>
      </c>
      <c r="AD10" s="84">
        <f t="shared" si="5"/>
        <v>0</v>
      </c>
      <c r="AE10" s="84">
        <f t="shared" si="5"/>
        <v>0</v>
      </c>
      <c r="AF10" s="84">
        <f t="shared" si="5"/>
        <v>0</v>
      </c>
      <c r="AG10" s="84">
        <f t="shared" si="5"/>
        <v>0</v>
      </c>
      <c r="AH10" s="98">
        <f t="shared" si="5"/>
        <v>0</v>
      </c>
    </row>
    <row r="11" spans="2:11" ht="13.9">
      <c r="B11" s="33">
        <v>8</v>
      </c>
      <c r="C11" s="21" t="s">
        <v>110</v>
      </c>
      <c r="D11" s="88">
        <v>1</v>
      </c>
      <c r="E11" s="85" t="s">
        <v>19</v>
      </c>
      <c r="F11" s="152"/>
      <c r="G11" s="39"/>
      <c r="H11" s="39"/>
      <c r="I11" s="39"/>
      <c r="J11" s="39"/>
      <c r="K11" s="39"/>
    </row>
    <row r="12" spans="2:11" ht="13.9">
      <c r="B12" s="33">
        <v>9</v>
      </c>
      <c r="C12" s="21" t="s">
        <v>111</v>
      </c>
      <c r="D12" s="49">
        <v>0</v>
      </c>
      <c r="E12" s="85" t="s">
        <v>109</v>
      </c>
      <c r="F12" s="45" t="s">
        <v>139</v>
      </c>
      <c r="G12" s="39"/>
      <c r="H12" s="39"/>
      <c r="I12" s="39"/>
      <c r="J12" s="39"/>
      <c r="K12" s="39"/>
    </row>
    <row r="13" spans="2:11" ht="14.65">
      <c r="B13" s="33">
        <v>10</v>
      </c>
      <c r="C13" s="48" t="s">
        <v>114</v>
      </c>
      <c r="D13" s="51">
        <f>D10*D11+D12*(1-D11)</f>
        <v>0.53</v>
      </c>
      <c r="E13" s="85" t="s">
        <v>112</v>
      </c>
      <c r="F13" s="45"/>
      <c r="G13" s="39"/>
      <c r="H13" s="39"/>
      <c r="I13" s="39"/>
      <c r="J13" s="39"/>
      <c r="K13" s="39"/>
    </row>
    <row r="14" spans="2:11" ht="14.65">
      <c r="B14" s="33">
        <v>11</v>
      </c>
      <c r="C14" s="48" t="s">
        <v>115</v>
      </c>
      <c r="D14" s="29">
        <f>D6*D13</f>
        <v>3180</v>
      </c>
      <c r="E14" s="85" t="s">
        <v>113</v>
      </c>
      <c r="F14" s="45"/>
      <c r="G14" s="39"/>
      <c r="H14" s="39"/>
      <c r="I14" s="39"/>
      <c r="J14" s="39"/>
      <c r="K14" s="39"/>
    </row>
    <row r="15" spans="2:11" ht="14.65">
      <c r="B15" s="33">
        <v>12</v>
      </c>
      <c r="C15" s="21" t="s">
        <v>124</v>
      </c>
      <c r="D15" s="87">
        <f>I9</f>
        <v>0.25430802406449504</v>
      </c>
      <c r="E15" s="85" t="s">
        <v>105</v>
      </c>
      <c r="F15" s="82"/>
      <c r="G15" s="39"/>
      <c r="H15" s="39"/>
      <c r="I15" s="39"/>
      <c r="J15" s="39"/>
      <c r="K15" s="39"/>
    </row>
    <row r="16" spans="2:11" ht="14.65">
      <c r="B16" s="33">
        <v>13</v>
      </c>
      <c r="C16" s="21" t="s">
        <v>116</v>
      </c>
      <c r="D16" s="29">
        <f>I10</f>
        <v>4.864998770042563</v>
      </c>
      <c r="E16" s="85" t="s">
        <v>107</v>
      </c>
      <c r="F16" s="82"/>
      <c r="G16" s="39"/>
      <c r="H16" s="39"/>
      <c r="I16" s="39"/>
      <c r="J16" s="39"/>
      <c r="K16" s="39"/>
    </row>
    <row r="17" spans="2:11" ht="14.25" thickBot="1">
      <c r="B17" s="73"/>
      <c r="C17" s="74"/>
      <c r="D17" s="74"/>
      <c r="E17" s="79"/>
      <c r="F17" s="75"/>
      <c r="G17" s="39"/>
      <c r="H17" s="39"/>
      <c r="I17" s="39"/>
      <c r="J17" s="39"/>
      <c r="K17" s="39"/>
    </row>
    <row r="18" spans="7:11" ht="13.9">
      <c r="G18" s="39"/>
      <c r="H18" s="39"/>
      <c r="I18" s="39"/>
      <c r="J18" s="39"/>
      <c r="K18" s="39"/>
    </row>
    <row r="19" spans="2:6" ht="15">
      <c r="B19" s="153" t="s">
        <v>143</v>
      </c>
      <c r="C19" s="153"/>
      <c r="D19" s="153"/>
      <c r="E19" s="153"/>
      <c r="F19" s="106" t="s">
        <v>141</v>
      </c>
    </row>
  </sheetData>
  <sheetProtection algorithmName="SHA-512" hashValue="5FMHLLKI1dvnyPwMeC1gNZrSBH3dJriZxfBKo1kPY0IE8rh1blbXQgvY5EPA9CBxr1Hbslai17rsbZTmBvxLlQ==" saltValue="AizlMKBOzN/Iw0/ShJY4dw==" spinCount="100000" sheet="1" objects="1" scenarios="1"/>
  <protectedRanges>
    <protectedRange sqref="D4:D12" name="区域1"/>
  </protectedRanges>
  <mergeCells count="4">
    <mergeCell ref="B2:F2"/>
    <mergeCell ref="F7:F8"/>
    <mergeCell ref="F10:F11"/>
    <mergeCell ref="B19:E19"/>
  </mergeCells>
  <dataValidations count="1">
    <dataValidation type="whole" operator="lessThanOrEqual" allowBlank="1" showInputMessage="1" showErrorMessage="1" errorTitle="Max. 25years" error="Max. 25years" sqref="D9">
      <formula1>25</formula1>
    </dataValidation>
  </dataValidations>
  <hyperlinks>
    <hyperlink ref="F19" r:id="rId1" display="https://globalsolaratlas.info/ma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C1BAD-7DE5-412E-A853-417B397E0253}">
  <dimension ref="A1:H22"/>
  <sheetViews>
    <sheetView workbookViewId="0" topLeftCell="A1">
      <pane ySplit="1" topLeftCell="A2" activePane="bottomLeft" state="frozen"/>
      <selection pane="bottomLeft" activeCell="K20" sqref="K20"/>
    </sheetView>
  </sheetViews>
  <sheetFormatPr defaultColWidth="8.7109375" defaultRowHeight="15"/>
  <cols>
    <col min="1" max="1" width="17.28125" style="102" bestFit="1" customWidth="1"/>
    <col min="2" max="2" width="14.8515625" style="103" bestFit="1" customWidth="1"/>
    <col min="3" max="3" width="14.00390625" style="102" bestFit="1" customWidth="1"/>
    <col min="4" max="4" width="8.57421875" style="102" customWidth="1"/>
    <col min="5" max="5" width="7.8515625" style="102" customWidth="1"/>
    <col min="6" max="6" width="11.28125" style="102" bestFit="1" customWidth="1"/>
    <col min="7" max="7" width="15.00390625" style="102" customWidth="1"/>
    <col min="8" max="8" width="18.7109375" style="102" bestFit="1" customWidth="1"/>
    <col min="9" max="16384" width="8.7109375" style="102" customWidth="1"/>
  </cols>
  <sheetData>
    <row r="1" spans="1:8" ht="35" customHeight="1">
      <c r="A1" s="104"/>
      <c r="B1" s="46" t="s">
        <v>128</v>
      </c>
      <c r="C1" s="46" t="s">
        <v>127</v>
      </c>
      <c r="D1" s="154" t="s">
        <v>125</v>
      </c>
      <c r="E1" s="155"/>
      <c r="F1" s="46" t="s">
        <v>126</v>
      </c>
      <c r="G1" s="119" t="s">
        <v>167</v>
      </c>
      <c r="H1" s="21" t="s">
        <v>43</v>
      </c>
    </row>
    <row r="2" spans="1:8" ht="15">
      <c r="A2" s="107" t="s">
        <v>145</v>
      </c>
      <c r="B2" s="108">
        <v>360</v>
      </c>
      <c r="C2" s="108">
        <v>600</v>
      </c>
      <c r="D2" s="108">
        <v>100</v>
      </c>
      <c r="E2" s="108">
        <v>500</v>
      </c>
      <c r="F2" s="108">
        <v>1</v>
      </c>
      <c r="G2" s="108">
        <v>1</v>
      </c>
      <c r="H2" s="109">
        <v>3.3</v>
      </c>
    </row>
    <row r="3" spans="1:8" ht="15">
      <c r="A3" s="107" t="s">
        <v>146</v>
      </c>
      <c r="B3" s="108">
        <v>360</v>
      </c>
      <c r="C3" s="108">
        <v>600</v>
      </c>
      <c r="D3" s="108">
        <v>100</v>
      </c>
      <c r="E3" s="108">
        <v>500</v>
      </c>
      <c r="F3" s="108">
        <v>1</v>
      </c>
      <c r="G3" s="108">
        <v>1</v>
      </c>
      <c r="H3" s="109">
        <v>3.96</v>
      </c>
    </row>
    <row r="4" spans="1:8" ht="15">
      <c r="A4" s="107" t="s">
        <v>147</v>
      </c>
      <c r="B4" s="108">
        <v>360</v>
      </c>
      <c r="C4" s="108">
        <v>600</v>
      </c>
      <c r="D4" s="108">
        <v>100</v>
      </c>
      <c r="E4" s="108">
        <v>500</v>
      </c>
      <c r="F4" s="108">
        <v>2</v>
      </c>
      <c r="G4" s="108">
        <v>4</v>
      </c>
      <c r="H4" s="109">
        <v>4.6</v>
      </c>
    </row>
    <row r="5" spans="1:8" ht="15">
      <c r="A5" s="107" t="s">
        <v>148</v>
      </c>
      <c r="B5" s="108">
        <v>360</v>
      </c>
      <c r="C5" s="108">
        <v>600</v>
      </c>
      <c r="D5" s="108">
        <v>100</v>
      </c>
      <c r="E5" s="108">
        <v>500</v>
      </c>
      <c r="F5" s="108">
        <v>2</v>
      </c>
      <c r="G5" s="108">
        <v>4</v>
      </c>
      <c r="H5" s="109">
        <v>5.5</v>
      </c>
    </row>
    <row r="6" spans="1:8" ht="15">
      <c r="A6" s="107" t="s">
        <v>149</v>
      </c>
      <c r="B6" s="108">
        <v>360</v>
      </c>
      <c r="C6" s="108">
        <v>600</v>
      </c>
      <c r="D6" s="108">
        <v>100</v>
      </c>
      <c r="E6" s="108">
        <v>500</v>
      </c>
      <c r="F6" s="108">
        <v>2</v>
      </c>
      <c r="G6" s="108">
        <v>4</v>
      </c>
      <c r="H6" s="109">
        <v>6.6</v>
      </c>
    </row>
    <row r="7" spans="1:8" ht="15">
      <c r="A7" s="107" t="s">
        <v>150</v>
      </c>
      <c r="B7" s="108">
        <v>360</v>
      </c>
      <c r="C7" s="108">
        <v>600</v>
      </c>
      <c r="D7" s="108">
        <v>100</v>
      </c>
      <c r="E7" s="108">
        <v>500</v>
      </c>
      <c r="F7" s="108">
        <v>2</v>
      </c>
      <c r="G7" s="108">
        <v>4</v>
      </c>
      <c r="H7" s="109">
        <v>8</v>
      </c>
    </row>
    <row r="8" spans="1:8" ht="15">
      <c r="A8" s="110" t="s">
        <v>151</v>
      </c>
      <c r="B8" s="111">
        <v>620</v>
      </c>
      <c r="C8" s="111">
        <v>1000</v>
      </c>
      <c r="D8" s="111">
        <v>120</v>
      </c>
      <c r="E8" s="111">
        <v>850</v>
      </c>
      <c r="F8" s="111">
        <v>2</v>
      </c>
      <c r="G8" s="111">
        <v>4</v>
      </c>
      <c r="H8" s="112">
        <v>4.4</v>
      </c>
    </row>
    <row r="9" spans="1:8" ht="15">
      <c r="A9" s="110" t="s">
        <v>152</v>
      </c>
      <c r="B9" s="111">
        <v>620</v>
      </c>
      <c r="C9" s="111">
        <v>1000</v>
      </c>
      <c r="D9" s="111">
        <v>120</v>
      </c>
      <c r="E9" s="111">
        <v>850</v>
      </c>
      <c r="F9" s="111">
        <v>2</v>
      </c>
      <c r="G9" s="111">
        <v>4</v>
      </c>
      <c r="H9" s="112">
        <v>5.5</v>
      </c>
    </row>
    <row r="10" spans="1:8" ht="15">
      <c r="A10" s="110" t="s">
        <v>153</v>
      </c>
      <c r="B10" s="111">
        <v>620</v>
      </c>
      <c r="C10" s="111">
        <v>1000</v>
      </c>
      <c r="D10" s="111">
        <v>120</v>
      </c>
      <c r="E10" s="111">
        <v>850</v>
      </c>
      <c r="F10" s="111">
        <v>2</v>
      </c>
      <c r="G10" s="111">
        <v>4</v>
      </c>
      <c r="H10" s="112">
        <v>6.6</v>
      </c>
    </row>
    <row r="11" spans="1:8" ht="15">
      <c r="A11" s="110" t="s">
        <v>154</v>
      </c>
      <c r="B11" s="111">
        <v>620</v>
      </c>
      <c r="C11" s="111">
        <v>1000</v>
      </c>
      <c r="D11" s="111">
        <v>120</v>
      </c>
      <c r="E11" s="111">
        <v>850</v>
      </c>
      <c r="F11" s="111">
        <v>2</v>
      </c>
      <c r="G11" s="111">
        <v>4</v>
      </c>
      <c r="H11" s="112">
        <v>8.8</v>
      </c>
    </row>
    <row r="12" spans="1:8" ht="15">
      <c r="A12" s="110" t="s">
        <v>155</v>
      </c>
      <c r="B12" s="111">
        <v>620</v>
      </c>
      <c r="C12" s="111">
        <v>1000</v>
      </c>
      <c r="D12" s="111">
        <v>120</v>
      </c>
      <c r="E12" s="111">
        <v>850</v>
      </c>
      <c r="F12" s="111">
        <v>2</v>
      </c>
      <c r="G12" s="111">
        <v>4</v>
      </c>
      <c r="H12" s="112">
        <v>11</v>
      </c>
    </row>
    <row r="13" spans="1:8" ht="15">
      <c r="A13" s="110" t="s">
        <v>156</v>
      </c>
      <c r="B13" s="111">
        <v>620</v>
      </c>
      <c r="C13" s="111">
        <v>1000</v>
      </c>
      <c r="D13" s="111">
        <v>120</v>
      </c>
      <c r="E13" s="111">
        <v>850</v>
      </c>
      <c r="F13" s="111">
        <v>2</v>
      </c>
      <c r="G13" s="111">
        <v>4</v>
      </c>
      <c r="H13" s="112">
        <v>13.2</v>
      </c>
    </row>
    <row r="14" spans="1:8" ht="15">
      <c r="A14" s="113" t="s">
        <v>157</v>
      </c>
      <c r="B14" s="114">
        <v>620</v>
      </c>
      <c r="C14" s="114">
        <v>1000</v>
      </c>
      <c r="D14" s="114">
        <v>200</v>
      </c>
      <c r="E14" s="114">
        <v>850</v>
      </c>
      <c r="F14" s="114">
        <v>2</v>
      </c>
      <c r="G14" s="114">
        <v>4</v>
      </c>
      <c r="H14" s="115">
        <v>11</v>
      </c>
    </row>
    <row r="15" spans="1:8" ht="15">
      <c r="A15" s="113" t="s">
        <v>158</v>
      </c>
      <c r="B15" s="114">
        <v>620</v>
      </c>
      <c r="C15" s="114">
        <v>1000</v>
      </c>
      <c r="D15" s="114">
        <v>200</v>
      </c>
      <c r="E15" s="114">
        <v>850</v>
      </c>
      <c r="F15" s="114">
        <v>2</v>
      </c>
      <c r="G15" s="114">
        <v>4</v>
      </c>
      <c r="H15" s="115">
        <v>13.2</v>
      </c>
    </row>
    <row r="16" spans="1:8" ht="15">
      <c r="A16" s="113" t="s">
        <v>159</v>
      </c>
      <c r="B16" s="114">
        <v>620</v>
      </c>
      <c r="C16" s="114">
        <v>1000</v>
      </c>
      <c r="D16" s="114">
        <v>200</v>
      </c>
      <c r="E16" s="114">
        <v>850</v>
      </c>
      <c r="F16" s="114">
        <v>2</v>
      </c>
      <c r="G16" s="114">
        <v>4</v>
      </c>
      <c r="H16" s="115">
        <v>16.5</v>
      </c>
    </row>
    <row r="17" spans="1:8" ht="15">
      <c r="A17" s="113" t="s">
        <v>160</v>
      </c>
      <c r="B17" s="114">
        <v>620</v>
      </c>
      <c r="C17" s="114">
        <v>1000</v>
      </c>
      <c r="D17" s="114">
        <v>200</v>
      </c>
      <c r="E17" s="114">
        <v>850</v>
      </c>
      <c r="F17" s="114">
        <v>2</v>
      </c>
      <c r="G17" s="114">
        <v>4</v>
      </c>
      <c r="H17" s="115">
        <v>22</v>
      </c>
    </row>
    <row r="18" spans="1:8" ht="15">
      <c r="A18" s="116" t="s">
        <v>161</v>
      </c>
      <c r="B18" s="117">
        <v>620</v>
      </c>
      <c r="C18" s="117">
        <v>1000</v>
      </c>
      <c r="D18" s="117">
        <v>200</v>
      </c>
      <c r="E18" s="117">
        <v>850</v>
      </c>
      <c r="F18" s="117">
        <v>4</v>
      </c>
      <c r="G18" s="117">
        <v>8</v>
      </c>
      <c r="H18" s="118">
        <v>27.5</v>
      </c>
    </row>
    <row r="19" spans="1:8" ht="15">
      <c r="A19" s="116" t="s">
        <v>162</v>
      </c>
      <c r="B19" s="117">
        <v>620</v>
      </c>
      <c r="C19" s="117">
        <v>1000</v>
      </c>
      <c r="D19" s="117">
        <v>200</v>
      </c>
      <c r="E19" s="117">
        <v>850</v>
      </c>
      <c r="F19" s="117">
        <v>4</v>
      </c>
      <c r="G19" s="117">
        <v>8</v>
      </c>
      <c r="H19" s="118">
        <v>33</v>
      </c>
    </row>
    <row r="20" spans="1:8" ht="15">
      <c r="A20" s="116" t="s">
        <v>163</v>
      </c>
      <c r="B20" s="117">
        <v>620</v>
      </c>
      <c r="C20" s="117">
        <v>1000</v>
      </c>
      <c r="D20" s="117">
        <v>200</v>
      </c>
      <c r="E20" s="117">
        <v>850</v>
      </c>
      <c r="F20" s="117">
        <v>4</v>
      </c>
      <c r="G20" s="117">
        <v>8</v>
      </c>
      <c r="H20" s="118">
        <v>39.6</v>
      </c>
    </row>
    <row r="21" spans="1:8" ht="15">
      <c r="A21" s="116" t="s">
        <v>164</v>
      </c>
      <c r="B21" s="117">
        <v>620</v>
      </c>
      <c r="C21" s="117">
        <v>1000</v>
      </c>
      <c r="D21" s="117">
        <v>200</v>
      </c>
      <c r="E21" s="117">
        <v>850</v>
      </c>
      <c r="F21" s="117">
        <v>4</v>
      </c>
      <c r="G21" s="117">
        <v>8</v>
      </c>
      <c r="H21" s="118">
        <v>44</v>
      </c>
    </row>
    <row r="22" spans="1:8" ht="15">
      <c r="A22" s="116" t="s">
        <v>165</v>
      </c>
      <c r="B22" s="117">
        <v>620</v>
      </c>
      <c r="C22" s="117">
        <v>1000</v>
      </c>
      <c r="D22" s="117">
        <v>200</v>
      </c>
      <c r="E22" s="117">
        <v>850</v>
      </c>
      <c r="F22" s="117">
        <v>4</v>
      </c>
      <c r="G22" s="117">
        <v>8</v>
      </c>
      <c r="H22" s="118">
        <v>55</v>
      </c>
    </row>
  </sheetData>
  <protectedRanges>
    <protectedRange sqref="B2:B7 F5:G7 D2:H3 F4:H4 D4:E7" name="区域2"/>
  </protectedRanges>
  <mergeCells count="1">
    <mergeCell ref="D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workbookViewId="0" topLeftCell="A7">
      <selection activeCell="C29" sqref="C29"/>
    </sheetView>
  </sheetViews>
  <sheetFormatPr defaultColWidth="9.00390625" defaultRowHeight="15"/>
  <cols>
    <col min="1" max="1" width="5.7109375" style="1" bestFit="1" customWidth="1"/>
    <col min="2" max="2" width="13.00390625" style="1" bestFit="1" customWidth="1"/>
    <col min="3" max="3" width="11.28125" style="1" bestFit="1" customWidth="1"/>
    <col min="4" max="4" width="6.28125" style="1" bestFit="1" customWidth="1"/>
    <col min="5" max="5" width="13.00390625" style="1" bestFit="1" customWidth="1"/>
    <col min="6" max="6" width="11.28125" style="1" bestFit="1" customWidth="1"/>
    <col min="7" max="7" width="7.421875" style="1" bestFit="1" customWidth="1"/>
    <col min="8" max="8" width="13.00390625" style="1" bestFit="1" customWidth="1"/>
    <col min="9" max="9" width="11.28125" style="1" bestFit="1" customWidth="1"/>
    <col min="10" max="10" width="13.00390625" style="1" bestFit="1" customWidth="1"/>
    <col min="11" max="11" width="11.28125" style="1" bestFit="1" customWidth="1"/>
    <col min="12" max="16384" width="9.00390625" style="1" customWidth="1"/>
  </cols>
  <sheetData>
    <row r="1" spans="1:11" ht="22.9">
      <c r="A1" s="156" t="s">
        <v>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5">
      <c r="A2" s="157" t="s">
        <v>5</v>
      </c>
      <c r="B2" s="158" t="s">
        <v>9</v>
      </c>
      <c r="C2" s="158"/>
      <c r="D2" s="158"/>
      <c r="E2" s="158" t="s">
        <v>10</v>
      </c>
      <c r="F2" s="158"/>
      <c r="G2" s="158"/>
      <c r="H2" s="158" t="s">
        <v>11</v>
      </c>
      <c r="I2" s="158"/>
      <c r="J2" s="158" t="s">
        <v>11</v>
      </c>
      <c r="K2" s="158"/>
    </row>
    <row r="3" spans="1:11" ht="15">
      <c r="A3" s="157"/>
      <c r="B3" s="2" t="s">
        <v>12</v>
      </c>
      <c r="C3" s="2" t="s">
        <v>13</v>
      </c>
      <c r="D3" s="3" t="s">
        <v>14</v>
      </c>
      <c r="E3" s="2" t="s">
        <v>12</v>
      </c>
      <c r="F3" s="2" t="s">
        <v>13</v>
      </c>
      <c r="G3" s="3" t="s">
        <v>14</v>
      </c>
      <c r="H3" s="3" t="s">
        <v>12</v>
      </c>
      <c r="I3" s="3" t="s">
        <v>13</v>
      </c>
      <c r="J3" s="3" t="s">
        <v>12</v>
      </c>
      <c r="K3" s="3" t="s">
        <v>13</v>
      </c>
    </row>
    <row r="4" spans="1:11" ht="16.15">
      <c r="A4" s="4">
        <v>0.5</v>
      </c>
      <c r="B4" s="5">
        <v>36</v>
      </c>
      <c r="C4" s="5">
        <v>36.7</v>
      </c>
      <c r="D4" s="6" t="s">
        <v>15</v>
      </c>
      <c r="E4" s="5">
        <v>36</v>
      </c>
      <c r="F4" s="5">
        <v>36.7</v>
      </c>
      <c r="G4" s="7" t="s">
        <v>15</v>
      </c>
      <c r="H4" s="5">
        <v>39</v>
      </c>
      <c r="I4" s="5">
        <v>40.1</v>
      </c>
      <c r="J4" s="5">
        <v>39</v>
      </c>
      <c r="K4" s="5">
        <v>40.1</v>
      </c>
    </row>
    <row r="5" spans="1:11" ht="16.15">
      <c r="A5" s="4">
        <v>0.75</v>
      </c>
      <c r="B5" s="5">
        <v>24.5</v>
      </c>
      <c r="C5" s="5">
        <v>24.8</v>
      </c>
      <c r="D5" s="6" t="s">
        <v>15</v>
      </c>
      <c r="E5" s="5">
        <v>24.5</v>
      </c>
      <c r="F5" s="5">
        <v>24.8</v>
      </c>
      <c r="G5" s="7" t="s">
        <v>15</v>
      </c>
      <c r="H5" s="5">
        <v>26</v>
      </c>
      <c r="I5" s="5">
        <v>26.7</v>
      </c>
      <c r="J5" s="5">
        <v>26</v>
      </c>
      <c r="K5" s="5">
        <v>26.7</v>
      </c>
    </row>
    <row r="6" spans="1:11" ht="16.15">
      <c r="A6" s="4">
        <v>1</v>
      </c>
      <c r="B6" s="5">
        <v>18.1</v>
      </c>
      <c r="C6" s="5">
        <v>18.2</v>
      </c>
      <c r="D6" s="6" t="s">
        <v>15</v>
      </c>
      <c r="E6" s="5">
        <v>18.1</v>
      </c>
      <c r="F6" s="5">
        <v>18.2</v>
      </c>
      <c r="G6" s="7" t="s">
        <v>15</v>
      </c>
      <c r="H6" s="5">
        <v>19.5</v>
      </c>
      <c r="I6" s="5">
        <v>20</v>
      </c>
      <c r="J6" s="5">
        <v>19.5</v>
      </c>
      <c r="K6" s="5">
        <v>20</v>
      </c>
    </row>
    <row r="7" spans="1:11" ht="16.15">
      <c r="A7" s="4">
        <v>1.5</v>
      </c>
      <c r="B7" s="5">
        <v>12.1</v>
      </c>
      <c r="C7" s="5">
        <v>12.2</v>
      </c>
      <c r="D7" s="6">
        <v>18.1</v>
      </c>
      <c r="E7" s="5">
        <v>12.1</v>
      </c>
      <c r="F7" s="5">
        <v>12.2</v>
      </c>
      <c r="G7" s="7" t="s">
        <v>15</v>
      </c>
      <c r="H7" s="5">
        <v>13.3</v>
      </c>
      <c r="I7" s="5">
        <v>13.7</v>
      </c>
      <c r="J7" s="5">
        <v>13.3</v>
      </c>
      <c r="K7" s="5">
        <v>13.7</v>
      </c>
    </row>
    <row r="8" spans="1:11" ht="16.15">
      <c r="A8" s="4">
        <v>2.5</v>
      </c>
      <c r="B8" s="6">
        <v>7.41</v>
      </c>
      <c r="C8" s="6">
        <v>7.56</v>
      </c>
      <c r="D8" s="6">
        <v>12.1</v>
      </c>
      <c r="E8" s="6">
        <v>7.41</v>
      </c>
      <c r="F8" s="6">
        <v>7.56</v>
      </c>
      <c r="G8" s="7" t="s">
        <v>15</v>
      </c>
      <c r="H8" s="6">
        <v>7.98</v>
      </c>
      <c r="I8" s="8">
        <v>8.21</v>
      </c>
      <c r="J8" s="6">
        <v>7.98</v>
      </c>
      <c r="K8" s="8">
        <v>8.21</v>
      </c>
    </row>
    <row r="9" spans="1:11" ht="15">
      <c r="A9" s="4">
        <v>4</v>
      </c>
      <c r="B9" s="6">
        <v>4.61</v>
      </c>
      <c r="C9" s="6">
        <v>4.7</v>
      </c>
      <c r="D9" s="6">
        <v>7.41</v>
      </c>
      <c r="E9" s="6">
        <v>4.61</v>
      </c>
      <c r="F9" s="6">
        <v>4.7</v>
      </c>
      <c r="G9" s="6">
        <v>7.41</v>
      </c>
      <c r="H9" s="6">
        <v>4.95</v>
      </c>
      <c r="I9" s="8">
        <v>5.09</v>
      </c>
      <c r="J9" s="6">
        <v>4.95</v>
      </c>
      <c r="K9" s="8">
        <v>5.09</v>
      </c>
    </row>
    <row r="10" spans="1:11" ht="15">
      <c r="A10" s="4">
        <v>6</v>
      </c>
      <c r="B10" s="6">
        <v>3.08</v>
      </c>
      <c r="C10" s="6">
        <v>3.11</v>
      </c>
      <c r="D10" s="6">
        <v>4.61</v>
      </c>
      <c r="E10" s="6">
        <v>3.08</v>
      </c>
      <c r="F10" s="6">
        <v>3.11</v>
      </c>
      <c r="G10" s="6">
        <v>4.61</v>
      </c>
      <c r="H10" s="6">
        <v>3.3</v>
      </c>
      <c r="I10" s="8">
        <v>3.39</v>
      </c>
      <c r="J10" s="6">
        <v>3.3</v>
      </c>
      <c r="K10" s="8">
        <v>3.39</v>
      </c>
    </row>
    <row r="11" spans="1:11" ht="15">
      <c r="A11" s="4">
        <v>10</v>
      </c>
      <c r="B11" s="6">
        <v>1.83</v>
      </c>
      <c r="C11" s="6">
        <v>1.84</v>
      </c>
      <c r="D11" s="6">
        <v>3.08</v>
      </c>
      <c r="E11" s="6">
        <v>1.83</v>
      </c>
      <c r="F11" s="6">
        <v>1.84</v>
      </c>
      <c r="G11" s="6">
        <v>3.08</v>
      </c>
      <c r="H11" s="6">
        <v>1.91</v>
      </c>
      <c r="I11" s="8">
        <v>1.95</v>
      </c>
      <c r="J11" s="6">
        <v>1.91</v>
      </c>
      <c r="K11" s="8">
        <v>1.95</v>
      </c>
    </row>
    <row r="12" spans="1:11" ht="15">
      <c r="A12" s="4">
        <v>16</v>
      </c>
      <c r="B12" s="6">
        <v>1.15</v>
      </c>
      <c r="C12" s="6">
        <v>1.16</v>
      </c>
      <c r="D12" s="6">
        <v>1.91</v>
      </c>
      <c r="E12" s="6">
        <v>1.15</v>
      </c>
      <c r="F12" s="6">
        <v>1.16</v>
      </c>
      <c r="G12" s="6">
        <v>1.91</v>
      </c>
      <c r="H12" s="6">
        <v>1.21</v>
      </c>
      <c r="I12" s="8">
        <v>1.24</v>
      </c>
      <c r="J12" s="6">
        <v>1.21</v>
      </c>
      <c r="K12" s="8">
        <v>1.24</v>
      </c>
    </row>
    <row r="13" spans="1:11" ht="15">
      <c r="A13" s="4">
        <v>25</v>
      </c>
      <c r="B13" s="9">
        <v>0.727</v>
      </c>
      <c r="C13" s="9">
        <v>0.734</v>
      </c>
      <c r="D13" s="6">
        <v>1.2</v>
      </c>
      <c r="E13" s="9">
        <v>0.727</v>
      </c>
      <c r="F13" s="9">
        <v>0.734</v>
      </c>
      <c r="G13" s="6">
        <v>1.2</v>
      </c>
      <c r="H13" s="6">
        <v>0.78</v>
      </c>
      <c r="I13" s="10">
        <v>0.795</v>
      </c>
      <c r="J13" s="6">
        <v>0.78</v>
      </c>
      <c r="K13" s="10">
        <v>0.798</v>
      </c>
    </row>
    <row r="14" spans="1:11" ht="15">
      <c r="A14" s="4">
        <v>35</v>
      </c>
      <c r="B14" s="9">
        <v>0.524</v>
      </c>
      <c r="C14" s="9">
        <v>0.529</v>
      </c>
      <c r="D14" s="9">
        <v>0.868</v>
      </c>
      <c r="E14" s="9">
        <v>0.524</v>
      </c>
      <c r="F14" s="9">
        <v>0.529</v>
      </c>
      <c r="G14" s="9">
        <v>0.868</v>
      </c>
      <c r="H14" s="10">
        <v>0.554</v>
      </c>
      <c r="I14" s="10">
        <v>0.565</v>
      </c>
      <c r="J14" s="10">
        <v>0.554</v>
      </c>
      <c r="K14" s="10">
        <v>0.565</v>
      </c>
    </row>
    <row r="15" spans="1:11" ht="15">
      <c r="A15" s="4">
        <v>50</v>
      </c>
      <c r="B15" s="9">
        <v>0.387</v>
      </c>
      <c r="C15" s="9">
        <v>0.391</v>
      </c>
      <c r="D15" s="9">
        <v>0.641</v>
      </c>
      <c r="E15" s="9">
        <v>0.387</v>
      </c>
      <c r="F15" s="9">
        <v>0.391</v>
      </c>
      <c r="G15" s="9">
        <v>0.641</v>
      </c>
      <c r="H15" s="10">
        <v>0.386</v>
      </c>
      <c r="I15" s="10">
        <v>0.393</v>
      </c>
      <c r="J15" s="10">
        <v>0.386</v>
      </c>
      <c r="K15" s="10">
        <v>0.393</v>
      </c>
    </row>
    <row r="16" spans="1:11" ht="15">
      <c r="A16" s="4">
        <v>70</v>
      </c>
      <c r="B16" s="9">
        <v>0.268</v>
      </c>
      <c r="C16" s="9">
        <v>0.27</v>
      </c>
      <c r="D16" s="9">
        <v>0.443</v>
      </c>
      <c r="E16" s="9">
        <v>0.268</v>
      </c>
      <c r="F16" s="9">
        <v>0.27</v>
      </c>
      <c r="G16" s="9">
        <v>0.443</v>
      </c>
      <c r="H16" s="10">
        <v>0.272</v>
      </c>
      <c r="I16" s="10">
        <v>0.277</v>
      </c>
      <c r="J16" s="10">
        <v>0.272</v>
      </c>
      <c r="K16" s="10">
        <v>0.277</v>
      </c>
    </row>
    <row r="17" spans="1:11" ht="15">
      <c r="A17" s="4">
        <v>95</v>
      </c>
      <c r="B17" s="9">
        <v>0.193</v>
      </c>
      <c r="C17" s="9">
        <v>0.195</v>
      </c>
      <c r="D17" s="9">
        <v>0.32</v>
      </c>
      <c r="E17" s="9">
        <v>0.193</v>
      </c>
      <c r="F17" s="9">
        <v>0.195</v>
      </c>
      <c r="G17" s="9">
        <v>0.32</v>
      </c>
      <c r="H17" s="10">
        <v>0.206</v>
      </c>
      <c r="I17" s="10">
        <v>0.21</v>
      </c>
      <c r="J17" s="10">
        <v>0.206</v>
      </c>
      <c r="K17" s="10">
        <v>0.21</v>
      </c>
    </row>
    <row r="18" spans="1:11" ht="15">
      <c r="A18" s="4">
        <v>120</v>
      </c>
      <c r="B18" s="9">
        <v>0.153</v>
      </c>
      <c r="C18" s="9">
        <v>0.154</v>
      </c>
      <c r="D18" s="9">
        <v>0.253</v>
      </c>
      <c r="E18" s="9">
        <v>0.153</v>
      </c>
      <c r="F18" s="9">
        <v>0.154</v>
      </c>
      <c r="G18" s="9">
        <v>0.253</v>
      </c>
      <c r="H18" s="10">
        <v>0.161</v>
      </c>
      <c r="I18" s="10">
        <v>0.164</v>
      </c>
      <c r="J18" s="10">
        <v>0.161</v>
      </c>
      <c r="K18" s="10">
        <v>0.164</v>
      </c>
    </row>
    <row r="19" spans="1:11" ht="15">
      <c r="A19" s="4">
        <v>150</v>
      </c>
      <c r="B19" s="9">
        <v>0.124</v>
      </c>
      <c r="C19" s="9">
        <v>0.126</v>
      </c>
      <c r="D19" s="9">
        <v>0.206</v>
      </c>
      <c r="E19" s="9">
        <v>0.124</v>
      </c>
      <c r="F19" s="9">
        <v>0.126</v>
      </c>
      <c r="G19" s="9">
        <v>0.206</v>
      </c>
      <c r="H19" s="10">
        <v>0.129</v>
      </c>
      <c r="I19" s="10">
        <v>0.132</v>
      </c>
      <c r="J19" s="10">
        <v>0.129</v>
      </c>
      <c r="K19" s="10">
        <v>0.132</v>
      </c>
    </row>
    <row r="20" spans="1:11" ht="15">
      <c r="A20" s="4">
        <v>185</v>
      </c>
      <c r="B20" s="11">
        <v>0.0991</v>
      </c>
      <c r="C20" s="9">
        <v>0.1</v>
      </c>
      <c r="D20" s="9">
        <v>0.164</v>
      </c>
      <c r="E20" s="11">
        <v>0.0991</v>
      </c>
      <c r="F20" s="9">
        <v>0.1</v>
      </c>
      <c r="G20" s="9">
        <v>0.164</v>
      </c>
      <c r="H20" s="10">
        <v>0.106</v>
      </c>
      <c r="I20" s="10">
        <v>0.108</v>
      </c>
      <c r="J20" s="10">
        <v>0.106</v>
      </c>
      <c r="K20" s="10">
        <v>0.108</v>
      </c>
    </row>
    <row r="21" spans="1:11" ht="15">
      <c r="A21" s="4">
        <v>240</v>
      </c>
      <c r="B21" s="11">
        <v>0.0754</v>
      </c>
      <c r="C21" s="11">
        <v>0.0762</v>
      </c>
      <c r="D21" s="9">
        <v>0.125</v>
      </c>
      <c r="E21" s="11">
        <v>0.0754</v>
      </c>
      <c r="F21" s="11">
        <v>0.0762</v>
      </c>
      <c r="G21" s="9">
        <v>0.125</v>
      </c>
      <c r="H21" s="12">
        <v>0.0801</v>
      </c>
      <c r="I21" s="12">
        <v>0.0817</v>
      </c>
      <c r="J21" s="12">
        <v>0.0801</v>
      </c>
      <c r="K21" s="12">
        <v>0.0817</v>
      </c>
    </row>
    <row r="22" spans="1:11" ht="15">
      <c r="A22" s="4">
        <v>300</v>
      </c>
      <c r="B22" s="11">
        <v>0.0601</v>
      </c>
      <c r="C22" s="11">
        <v>0.0607</v>
      </c>
      <c r="D22" s="9">
        <v>0.1</v>
      </c>
      <c r="E22" s="11">
        <v>0.0601</v>
      </c>
      <c r="F22" s="11">
        <v>0.0607</v>
      </c>
      <c r="G22" s="9">
        <v>0.1</v>
      </c>
      <c r="H22" s="12">
        <v>0.0641</v>
      </c>
      <c r="I22" s="12">
        <v>0.0654</v>
      </c>
      <c r="J22" s="12">
        <v>0.0641</v>
      </c>
      <c r="K22" s="12">
        <v>0.0654</v>
      </c>
    </row>
    <row r="23" spans="1:11" ht="15">
      <c r="A23" s="4">
        <v>400</v>
      </c>
      <c r="B23" s="11">
        <v>0.047</v>
      </c>
      <c r="C23" s="11">
        <v>0.0475</v>
      </c>
      <c r="D23" s="6"/>
      <c r="E23" s="11">
        <v>0.047</v>
      </c>
      <c r="F23" s="11">
        <v>0.0475</v>
      </c>
      <c r="G23" s="4">
        <v>0.0778</v>
      </c>
      <c r="H23" s="12">
        <v>0.0495</v>
      </c>
      <c r="I23" s="12">
        <v>0.0495</v>
      </c>
      <c r="J23" s="12">
        <v>0.0495</v>
      </c>
      <c r="K23" s="12">
        <v>0.0495</v>
      </c>
    </row>
    <row r="24" spans="1:11" ht="15">
      <c r="A24" s="4">
        <v>500</v>
      </c>
      <c r="B24" s="11">
        <v>0.0366</v>
      </c>
      <c r="C24" s="11">
        <v>0.0369</v>
      </c>
      <c r="D24" s="6"/>
      <c r="E24" s="11">
        <v>0.0366</v>
      </c>
      <c r="F24" s="11">
        <v>0.0369</v>
      </c>
      <c r="G24" s="4">
        <v>0.0605</v>
      </c>
      <c r="H24" s="12">
        <v>0.0391</v>
      </c>
      <c r="I24" s="12">
        <v>0.0391</v>
      </c>
      <c r="J24" s="12">
        <v>0.0391</v>
      </c>
      <c r="K24" s="12">
        <v>0.0391</v>
      </c>
    </row>
    <row r="25" spans="1:11" ht="15">
      <c r="A25" s="4">
        <v>630</v>
      </c>
      <c r="B25" s="11">
        <v>0.0283</v>
      </c>
      <c r="C25" s="11">
        <v>0.0286</v>
      </c>
      <c r="D25" s="6"/>
      <c r="E25" s="11">
        <v>0.0283</v>
      </c>
      <c r="F25" s="11">
        <v>0.0286</v>
      </c>
      <c r="G25" s="4">
        <v>0.0469</v>
      </c>
      <c r="H25" s="12">
        <v>0.0287</v>
      </c>
      <c r="I25" s="12">
        <v>0.0292</v>
      </c>
      <c r="J25" s="12">
        <v>0.0287</v>
      </c>
      <c r="K25" s="12">
        <v>0.0292</v>
      </c>
    </row>
    <row r="26" spans="1:11" ht="16.15">
      <c r="A26" s="4">
        <v>800</v>
      </c>
      <c r="B26" s="11">
        <v>0.0221</v>
      </c>
      <c r="C26" s="11">
        <v>0.0224</v>
      </c>
      <c r="D26" s="6"/>
      <c r="E26" s="11">
        <v>0.0221</v>
      </c>
      <c r="F26" s="11">
        <v>0.0224</v>
      </c>
      <c r="G26" s="4">
        <v>0.0369</v>
      </c>
      <c r="H26" s="13"/>
      <c r="I26" s="14"/>
      <c r="J26" s="14"/>
      <c r="K26" s="14"/>
    </row>
    <row r="27" spans="1:11" ht="16.15">
      <c r="A27" s="4">
        <v>1000</v>
      </c>
      <c r="B27" s="11">
        <v>0.0176</v>
      </c>
      <c r="C27" s="11">
        <v>0.0177</v>
      </c>
      <c r="D27" s="6"/>
      <c r="E27" s="11">
        <v>0.0176</v>
      </c>
      <c r="F27" s="11">
        <v>0.0177</v>
      </c>
      <c r="G27" s="15">
        <v>0.0291</v>
      </c>
      <c r="H27" s="13"/>
      <c r="I27" s="14"/>
      <c r="J27" s="14"/>
      <c r="K27" s="14"/>
    </row>
  </sheetData>
  <mergeCells count="6">
    <mergeCell ref="A1:K1"/>
    <mergeCell ref="A2:A3"/>
    <mergeCell ref="B2:D2"/>
    <mergeCell ref="E2:G2"/>
    <mergeCell ref="H2:I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2022-12-30T09:03:57Z</dcterms:modified>
  <cp:category/>
  <cp:version/>
  <cp:contentType/>
  <cp:contentStatus/>
</cp:coreProperties>
</file>